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4915" windowHeight="12075"/>
  </bookViews>
  <sheets>
    <sheet name="User interface" sheetId="1" r:id="rId1"/>
    <sheet name="User guide" sheetId="3" r:id="rId2"/>
    <sheet name="Computations" sheetId="2" r:id="rId3"/>
  </sheets>
  <definedNames>
    <definedName name="A">'User interface'!$C$23</definedName>
    <definedName name="C_nl">'User interface'!$C$32</definedName>
    <definedName name="C_rd">'User interface'!$C$31</definedName>
    <definedName name="CC">'User interface'!$C$6</definedName>
    <definedName name="Control">'User interface'!$C$10</definedName>
    <definedName name="DP">'User interface'!$C$19</definedName>
    <definedName name="iC">'User guide'!$D$11</definedName>
    <definedName name="if">'User interface'!$C$15</definedName>
    <definedName name="ifr">'User interface'!#REF!</definedName>
    <definedName name="ii">'User interface'!$C$26</definedName>
    <definedName name="im">'User interface'!$C$22</definedName>
    <definedName name="ime">'User interface'!$C$24</definedName>
    <definedName name="is">'User interface'!$C$29</definedName>
    <definedName name="M">'User interface'!$C$20</definedName>
    <definedName name="MC">'User interface'!$C$8</definedName>
    <definedName name="nl">'User interface'!$C$11</definedName>
    <definedName name="nM">'User interface'!$C$21</definedName>
    <definedName name="ns">'User interface'!$D$12</definedName>
    <definedName name="PP">'User guide'!$D$10</definedName>
    <definedName name="rd">'User interface'!$C$9</definedName>
    <definedName name="rdp">'User interface'!$C$18</definedName>
    <definedName name="Replacement">'User interface'!$C$14</definedName>
    <definedName name="rpt">'User interface'!$C$28</definedName>
    <definedName name="rt">'User interface'!$C$27</definedName>
    <definedName name="S">'User interface'!$C$7</definedName>
  </definedNames>
  <calcPr calcId="145621"/>
</workbook>
</file>

<file path=xl/calcChain.xml><?xml version="1.0" encoding="utf-8"?>
<calcChain xmlns="http://schemas.openxmlformats.org/spreadsheetml/2006/main">
  <c r="B12" i="1" l="1"/>
  <c r="D12" i="1"/>
  <c r="C23" i="1"/>
  <c r="C14" i="1"/>
  <c r="B13" i="1"/>
  <c r="D11" i="1" l="1"/>
  <c r="B11" i="1"/>
  <c r="J6" i="2"/>
  <c r="H6" i="2"/>
  <c r="C32" i="1"/>
  <c r="C31" i="1"/>
  <c r="C24" i="1"/>
  <c r="C19" i="1"/>
  <c r="C20" i="1" s="1"/>
  <c r="U55" i="2" l="1"/>
  <c r="N52" i="2"/>
  <c r="N48" i="2"/>
  <c r="N44" i="2"/>
  <c r="N40" i="2"/>
  <c r="N36" i="2"/>
  <c r="N32" i="2"/>
  <c r="N28" i="2"/>
  <c r="N24" i="2"/>
  <c r="N20" i="2"/>
  <c r="N16" i="2"/>
  <c r="N12" i="2"/>
  <c r="N8" i="2"/>
  <c r="J53" i="2"/>
  <c r="J49" i="2"/>
  <c r="J45" i="2"/>
  <c r="J41" i="2"/>
  <c r="J37" i="2"/>
  <c r="J33" i="2"/>
  <c r="J29" i="2"/>
  <c r="J25" i="2"/>
  <c r="J21" i="2"/>
  <c r="J17" i="2"/>
  <c r="J13" i="2"/>
  <c r="J9" i="2"/>
  <c r="H54" i="2"/>
  <c r="U53" i="2" s="1"/>
  <c r="H50" i="2"/>
  <c r="U49" i="2" s="1"/>
  <c r="H46" i="2"/>
  <c r="U45" i="2" s="1"/>
  <c r="H42" i="2"/>
  <c r="U41" i="2" s="1"/>
  <c r="H38" i="2"/>
  <c r="U37" i="2" s="1"/>
  <c r="H34" i="2"/>
  <c r="U33" i="2" s="1"/>
  <c r="H30" i="2"/>
  <c r="U29" i="2" s="1"/>
  <c r="H26" i="2"/>
  <c r="U25" i="2" s="1"/>
  <c r="H22" i="2"/>
  <c r="U21" i="2" s="1"/>
  <c r="H18" i="2"/>
  <c r="U17" i="2" s="1"/>
  <c r="H14" i="2"/>
  <c r="U13" i="2" s="1"/>
  <c r="H10" i="2"/>
  <c r="U9" i="2" s="1"/>
  <c r="N6" i="2"/>
  <c r="D53" i="2"/>
  <c r="D49" i="2"/>
  <c r="D45" i="2"/>
  <c r="D41" i="2"/>
  <c r="D37" i="2"/>
  <c r="D33" i="2"/>
  <c r="D29" i="2"/>
  <c r="D25" i="2"/>
  <c r="D21" i="2"/>
  <c r="D17" i="2"/>
  <c r="D13" i="2"/>
  <c r="D9" i="2"/>
  <c r="H21" i="2"/>
  <c r="U20" i="2" s="1"/>
  <c r="H17" i="2"/>
  <c r="U16" i="2" s="1"/>
  <c r="H9" i="2"/>
  <c r="U8" i="2" s="1"/>
  <c r="D52" i="2"/>
  <c r="D44" i="2"/>
  <c r="D40" i="2"/>
  <c r="D36" i="2"/>
  <c r="D28" i="2"/>
  <c r="D24" i="2"/>
  <c r="D16" i="2"/>
  <c r="D12" i="2"/>
  <c r="J15" i="2"/>
  <c r="J11" i="2"/>
  <c r="H52" i="2"/>
  <c r="U51" i="2" s="1"/>
  <c r="H44" i="2"/>
  <c r="U43" i="2" s="1"/>
  <c r="H36" i="2"/>
  <c r="U35" i="2" s="1"/>
  <c r="H28" i="2"/>
  <c r="U27" i="2" s="1"/>
  <c r="H20" i="2"/>
  <c r="U19" i="2" s="1"/>
  <c r="H12" i="2"/>
  <c r="U11" i="2" s="1"/>
  <c r="D51" i="2"/>
  <c r="D47" i="2"/>
  <c r="D43" i="2"/>
  <c r="D31" i="2"/>
  <c r="D27" i="2"/>
  <c r="D15" i="2"/>
  <c r="D7" i="2"/>
  <c r="D22" i="2"/>
  <c r="D14" i="2"/>
  <c r="N55" i="2"/>
  <c r="N51" i="2"/>
  <c r="N47" i="2"/>
  <c r="N43" i="2"/>
  <c r="N39" i="2"/>
  <c r="N35" i="2"/>
  <c r="N31" i="2"/>
  <c r="N27" i="2"/>
  <c r="N23" i="2"/>
  <c r="N19" i="2"/>
  <c r="N15" i="2"/>
  <c r="N11" i="2"/>
  <c r="N7" i="2"/>
  <c r="J52" i="2"/>
  <c r="J48" i="2"/>
  <c r="J44" i="2"/>
  <c r="J40" i="2"/>
  <c r="J36" i="2"/>
  <c r="J32" i="2"/>
  <c r="J28" i="2"/>
  <c r="J24" i="2"/>
  <c r="J20" i="2"/>
  <c r="J16" i="2"/>
  <c r="J12" i="2"/>
  <c r="J8" i="2"/>
  <c r="H53" i="2"/>
  <c r="U52" i="2" s="1"/>
  <c r="H49" i="2"/>
  <c r="U48" i="2" s="1"/>
  <c r="H45" i="2"/>
  <c r="U44" i="2" s="1"/>
  <c r="H41" i="2"/>
  <c r="U40" i="2" s="1"/>
  <c r="H37" i="2"/>
  <c r="U36" i="2" s="1"/>
  <c r="H33" i="2"/>
  <c r="U32" i="2" s="1"/>
  <c r="H29" i="2"/>
  <c r="U28" i="2" s="1"/>
  <c r="H25" i="2"/>
  <c r="U24" i="2" s="1"/>
  <c r="H13" i="2"/>
  <c r="U12" i="2" s="1"/>
  <c r="D48" i="2"/>
  <c r="D32" i="2"/>
  <c r="D20" i="2"/>
  <c r="D8" i="2"/>
  <c r="H48" i="2"/>
  <c r="U47" i="2" s="1"/>
  <c r="H32" i="2"/>
  <c r="U31" i="2" s="1"/>
  <c r="H16" i="2"/>
  <c r="U15" i="2" s="1"/>
  <c r="D55" i="2"/>
  <c r="D35" i="2"/>
  <c r="D23" i="2"/>
  <c r="D11" i="2"/>
  <c r="D18" i="2"/>
  <c r="N54" i="2"/>
  <c r="N50" i="2"/>
  <c r="N46" i="2"/>
  <c r="N42" i="2"/>
  <c r="N38" i="2"/>
  <c r="N34" i="2"/>
  <c r="N30" i="2"/>
  <c r="N26" i="2"/>
  <c r="N22" i="2"/>
  <c r="N18" i="2"/>
  <c r="N14" i="2"/>
  <c r="N10" i="2"/>
  <c r="J55" i="2"/>
  <c r="J51" i="2"/>
  <c r="J47" i="2"/>
  <c r="J43" i="2"/>
  <c r="J39" i="2"/>
  <c r="J35" i="2"/>
  <c r="J31" i="2"/>
  <c r="J27" i="2"/>
  <c r="J23" i="2"/>
  <c r="J19" i="2"/>
  <c r="J7" i="2"/>
  <c r="H40" i="2"/>
  <c r="U39" i="2" s="1"/>
  <c r="H24" i="2"/>
  <c r="U23" i="2" s="1"/>
  <c r="H8" i="2"/>
  <c r="U7" i="2" s="1"/>
  <c r="D39" i="2"/>
  <c r="D19" i="2"/>
  <c r="D30" i="2"/>
  <c r="N53" i="2"/>
  <c r="N49" i="2"/>
  <c r="N45" i="2"/>
  <c r="N41" i="2"/>
  <c r="N37" i="2"/>
  <c r="N33" i="2"/>
  <c r="N29" i="2"/>
  <c r="N25" i="2"/>
  <c r="N21" i="2"/>
  <c r="N17" i="2"/>
  <c r="N13" i="2"/>
  <c r="N9" i="2"/>
  <c r="J54" i="2"/>
  <c r="J50" i="2"/>
  <c r="J46" i="2"/>
  <c r="J42" i="2"/>
  <c r="J38" i="2"/>
  <c r="J34" i="2"/>
  <c r="J30" i="2"/>
  <c r="J26" i="2"/>
  <c r="J22" i="2"/>
  <c r="J18" i="2"/>
  <c r="J14" i="2"/>
  <c r="J10" i="2"/>
  <c r="H55" i="2"/>
  <c r="U54" i="2" s="1"/>
  <c r="H51" i="2"/>
  <c r="U50" i="2" s="1"/>
  <c r="H47" i="2"/>
  <c r="U46" i="2" s="1"/>
  <c r="H43" i="2"/>
  <c r="U42" i="2" s="1"/>
  <c r="H39" i="2"/>
  <c r="U38" i="2" s="1"/>
  <c r="H35" i="2"/>
  <c r="U34" i="2" s="1"/>
  <c r="H31" i="2"/>
  <c r="U30" i="2" s="1"/>
  <c r="H27" i="2"/>
  <c r="U26" i="2" s="1"/>
  <c r="H23" i="2"/>
  <c r="U22" i="2" s="1"/>
  <c r="H19" i="2"/>
  <c r="U18" i="2" s="1"/>
  <c r="H15" i="2"/>
  <c r="U14" i="2" s="1"/>
  <c r="H11" i="2"/>
  <c r="U10" i="2" s="1"/>
  <c r="H7" i="2"/>
  <c r="U6" i="2" s="1"/>
  <c r="D54" i="2"/>
  <c r="D50" i="2"/>
  <c r="D46" i="2"/>
  <c r="D42" i="2"/>
  <c r="D38" i="2"/>
  <c r="D34" i="2"/>
  <c r="D26" i="2"/>
  <c r="D10" i="2"/>
  <c r="D6" i="2"/>
  <c r="U5" i="2"/>
  <c r="S5" i="2"/>
  <c r="F5" i="2"/>
  <c r="E6" i="2" s="1"/>
  <c r="L6" i="2" s="1"/>
  <c r="F6" i="2" l="1"/>
  <c r="E7" i="2" s="1"/>
  <c r="P6" i="2"/>
  <c r="Q6" i="2" s="1"/>
  <c r="S6" i="2" l="1"/>
  <c r="F7" i="2"/>
  <c r="E8" i="2" s="1"/>
  <c r="L7" i="2"/>
  <c r="P7" i="2" s="1"/>
  <c r="Q7" i="2" s="1"/>
  <c r="S7" i="2" l="1"/>
  <c r="W7" i="2" s="1"/>
  <c r="X7" i="2" s="1"/>
  <c r="W6" i="2"/>
  <c r="X6" i="2" s="1"/>
  <c r="F8" i="2"/>
  <c r="E9" i="2" s="1"/>
  <c r="L8" i="2"/>
  <c r="P8" i="2" s="1"/>
  <c r="Q8" i="2" s="1"/>
  <c r="S8" i="2" l="1"/>
  <c r="W8" i="2" s="1"/>
  <c r="X8" i="2" s="1"/>
  <c r="F9" i="2"/>
  <c r="E10" i="2" s="1"/>
  <c r="L9" i="2"/>
  <c r="P9" i="2" s="1"/>
  <c r="Q9" i="2" s="1"/>
  <c r="S9" i="2" l="1"/>
  <c r="W9" i="2" s="1"/>
  <c r="X9" i="2" s="1"/>
  <c r="F10" i="2"/>
  <c r="E11" i="2" s="1"/>
  <c r="L10" i="2"/>
  <c r="P10" i="2" s="1"/>
  <c r="Q10" i="2" s="1"/>
  <c r="S10" i="2" l="1"/>
  <c r="W10" i="2" s="1"/>
  <c r="X10" i="2" s="1"/>
  <c r="F11" i="2"/>
  <c r="E12" i="2" s="1"/>
  <c r="L12" i="2" s="1"/>
  <c r="P12" i="2" s="1"/>
  <c r="Q12" i="2" s="1"/>
  <c r="L11" i="2"/>
  <c r="P11" i="2" s="1"/>
  <c r="Q11" i="2" s="1"/>
  <c r="S11" i="2" l="1"/>
  <c r="S12" i="2" s="1"/>
  <c r="F12" i="2"/>
  <c r="W11" i="2" l="1"/>
  <c r="X11" i="2" s="1"/>
  <c r="W12" i="2"/>
  <c r="X12" i="2" s="1"/>
  <c r="E13" i="2"/>
  <c r="L13" i="2" s="1"/>
  <c r="P13" i="2" s="1"/>
  <c r="Q13" i="2" s="1"/>
  <c r="S13" i="2" l="1"/>
  <c r="F13" i="2"/>
  <c r="W13" i="2" l="1"/>
  <c r="X13" i="2" s="1"/>
  <c r="E14" i="2"/>
  <c r="L14" i="2" s="1"/>
  <c r="P14" i="2" s="1"/>
  <c r="Q14" i="2" l="1"/>
  <c r="S14" i="2"/>
  <c r="F14" i="2"/>
  <c r="W14" i="2" l="1"/>
  <c r="X14" i="2" s="1"/>
  <c r="E15" i="2"/>
  <c r="L15" i="2" s="1"/>
  <c r="P15" i="2" s="1"/>
  <c r="Q15" i="2" s="1"/>
  <c r="S15" i="2" l="1"/>
  <c r="F15" i="2"/>
  <c r="W15" i="2" l="1"/>
  <c r="X15" i="2" s="1"/>
  <c r="E16" i="2"/>
  <c r="L16" i="2" s="1"/>
  <c r="P16" i="2" s="1"/>
  <c r="Q16" i="2" s="1"/>
  <c r="S16" i="2" l="1"/>
  <c r="F16" i="2"/>
  <c r="W16" i="2" l="1"/>
  <c r="X16" i="2" s="1"/>
  <c r="E17" i="2"/>
  <c r="L17" i="2" s="1"/>
  <c r="P17" i="2" s="1"/>
  <c r="Q17" i="2" s="1"/>
  <c r="S17" i="2" l="1"/>
  <c r="F17" i="2"/>
  <c r="W17" i="2" l="1"/>
  <c r="X17" i="2" s="1"/>
  <c r="E18" i="2"/>
  <c r="L18" i="2" s="1"/>
  <c r="P18" i="2" s="1"/>
  <c r="Q18" i="2" s="1"/>
  <c r="S18" i="2" l="1"/>
  <c r="F18" i="2"/>
  <c r="W18" i="2" l="1"/>
  <c r="X18" i="2" s="1"/>
  <c r="E19" i="2"/>
  <c r="L19" i="2" s="1"/>
  <c r="P19" i="2" s="1"/>
  <c r="Q19" i="2" s="1"/>
  <c r="S19" i="2" l="1"/>
  <c r="F19" i="2"/>
  <c r="W19" i="2" l="1"/>
  <c r="X19" i="2" s="1"/>
  <c r="E20" i="2"/>
  <c r="L20" i="2" s="1"/>
  <c r="P20" i="2" s="1"/>
  <c r="Q20" i="2" s="1"/>
  <c r="F20" i="2" l="1"/>
  <c r="E21" i="2" s="1"/>
  <c r="L21" i="2" s="1"/>
  <c r="P21" i="2" s="1"/>
  <c r="Q21" i="2" s="1"/>
  <c r="S20" i="2"/>
  <c r="W20" i="2" l="1"/>
  <c r="X20" i="2" s="1"/>
  <c r="F21" i="2"/>
  <c r="E22" i="2" s="1"/>
  <c r="L22" i="2" s="1"/>
  <c r="P22" i="2" s="1"/>
  <c r="Q22" i="2" s="1"/>
  <c r="S21" i="2"/>
  <c r="W21" i="2" s="1"/>
  <c r="X21" i="2" s="1"/>
  <c r="S22" i="2" l="1"/>
  <c r="F22" i="2"/>
  <c r="E23" i="2" l="1"/>
  <c r="L23" i="2" s="1"/>
  <c r="P23" i="2" s="1"/>
  <c r="Q23" i="2" s="1"/>
  <c r="W22" i="2"/>
  <c r="X22" i="2" s="1"/>
  <c r="F23" i="2"/>
  <c r="S23" i="2" l="1"/>
  <c r="W23" i="2" s="1"/>
  <c r="X23" i="2" s="1"/>
  <c r="E24" i="2"/>
  <c r="L24" i="2" s="1"/>
  <c r="P24" i="2" s="1"/>
  <c r="Q24" i="2" s="1"/>
  <c r="S24" i="2" l="1"/>
  <c r="F24" i="2"/>
  <c r="W24" i="2" l="1"/>
  <c r="X24" i="2" s="1"/>
  <c r="E25" i="2"/>
  <c r="L25" i="2" s="1"/>
  <c r="P25" i="2" s="1"/>
  <c r="Q25" i="2" s="1"/>
  <c r="S25" i="2" l="1"/>
  <c r="F25" i="2"/>
  <c r="W25" i="2" l="1"/>
  <c r="X25" i="2" s="1"/>
  <c r="E26" i="2"/>
  <c r="L26" i="2" s="1"/>
  <c r="P26" i="2" s="1"/>
  <c r="Q26" i="2" s="1"/>
  <c r="S26" i="2" l="1"/>
  <c r="F26" i="2"/>
  <c r="W26" i="2" l="1"/>
  <c r="X26" i="2" s="1"/>
  <c r="E27" i="2"/>
  <c r="L27" i="2" s="1"/>
  <c r="P27" i="2" s="1"/>
  <c r="Q27" i="2" s="1"/>
  <c r="S27" i="2" l="1"/>
  <c r="F27" i="2"/>
  <c r="W27" i="2" l="1"/>
  <c r="X27" i="2" s="1"/>
  <c r="E28" i="2"/>
  <c r="L28" i="2" s="1"/>
  <c r="P28" i="2" s="1"/>
  <c r="Q28" i="2" s="1"/>
  <c r="S28" i="2" l="1"/>
  <c r="F28" i="2"/>
  <c r="W28" i="2" l="1"/>
  <c r="X28" i="2" s="1"/>
  <c r="E29" i="2"/>
  <c r="L29" i="2" s="1"/>
  <c r="P29" i="2" s="1"/>
  <c r="Q29" i="2" s="1"/>
  <c r="S29" i="2" l="1"/>
  <c r="F29" i="2"/>
  <c r="W29" i="2" l="1"/>
  <c r="X29" i="2" s="1"/>
  <c r="E30" i="2"/>
  <c r="L30" i="2" s="1"/>
  <c r="P30" i="2" s="1"/>
  <c r="Q30" i="2" s="1"/>
  <c r="S30" i="2" l="1"/>
  <c r="F30" i="2"/>
  <c r="W30" i="2" l="1"/>
  <c r="X30" i="2" s="1"/>
  <c r="E31" i="2"/>
  <c r="L31" i="2" s="1"/>
  <c r="P31" i="2" s="1"/>
  <c r="Q31" i="2" s="1"/>
  <c r="S31" i="2" l="1"/>
  <c r="F31" i="2"/>
  <c r="W31" i="2" l="1"/>
  <c r="X31" i="2" s="1"/>
  <c r="E32" i="2"/>
  <c r="L32" i="2" s="1"/>
  <c r="P32" i="2" s="1"/>
  <c r="Q32" i="2" s="1"/>
  <c r="S32" i="2" l="1"/>
  <c r="F32" i="2"/>
  <c r="W32" i="2" l="1"/>
  <c r="X32" i="2" s="1"/>
  <c r="E33" i="2"/>
  <c r="L33" i="2" s="1"/>
  <c r="P33" i="2" s="1"/>
  <c r="Q33" i="2" s="1"/>
  <c r="S33" i="2" l="1"/>
  <c r="F33" i="2"/>
  <c r="W33" i="2" l="1"/>
  <c r="X33" i="2" s="1"/>
  <c r="E34" i="2"/>
  <c r="L34" i="2" s="1"/>
  <c r="P34" i="2" s="1"/>
  <c r="Q34" i="2" s="1"/>
  <c r="S34" i="2" l="1"/>
  <c r="F34" i="2"/>
  <c r="W34" i="2" l="1"/>
  <c r="X34" i="2" s="1"/>
  <c r="E35" i="2"/>
  <c r="L35" i="2" s="1"/>
  <c r="P35" i="2" s="1"/>
  <c r="Q35" i="2" s="1"/>
  <c r="S35" i="2" l="1"/>
  <c r="F35" i="2"/>
  <c r="W35" i="2" l="1"/>
  <c r="X35" i="2" s="1"/>
  <c r="E36" i="2"/>
  <c r="L36" i="2" s="1"/>
  <c r="P36" i="2" s="1"/>
  <c r="Q36" i="2" s="1"/>
  <c r="F36" i="2" l="1"/>
  <c r="E37" i="2" s="1"/>
  <c r="L37" i="2" s="1"/>
  <c r="P37" i="2" s="1"/>
  <c r="Q37" i="2" s="1"/>
  <c r="S36" i="2"/>
  <c r="S37" i="2" l="1"/>
  <c r="W36" i="2"/>
  <c r="X36" i="2" s="1"/>
  <c r="F37" i="2"/>
  <c r="W37" i="2" l="1"/>
  <c r="X37" i="2" s="1"/>
  <c r="E38" i="2"/>
  <c r="L38" i="2" s="1"/>
  <c r="P38" i="2" s="1"/>
  <c r="Q38" i="2" l="1"/>
  <c r="S38" i="2"/>
  <c r="F38" i="2"/>
  <c r="W38" i="2" l="1"/>
  <c r="X38" i="2" s="1"/>
  <c r="E39" i="2"/>
  <c r="L39" i="2" s="1"/>
  <c r="P39" i="2" s="1"/>
  <c r="Q39" i="2" s="1"/>
  <c r="F39" i="2" l="1"/>
  <c r="E40" i="2" s="1"/>
  <c r="L40" i="2" s="1"/>
  <c r="P40" i="2" s="1"/>
  <c r="Q40" i="2" s="1"/>
  <c r="S39" i="2"/>
  <c r="S40" i="2" l="1"/>
  <c r="W39" i="2"/>
  <c r="X39" i="2" s="1"/>
  <c r="F40" i="2"/>
  <c r="W40" i="2" l="1"/>
  <c r="X40" i="2" s="1"/>
  <c r="E41" i="2"/>
  <c r="L41" i="2" s="1"/>
  <c r="P41" i="2" s="1"/>
  <c r="Q41" i="2" s="1"/>
  <c r="S41" i="2" l="1"/>
  <c r="F41" i="2"/>
  <c r="W41" i="2" l="1"/>
  <c r="X41" i="2" s="1"/>
  <c r="E42" i="2"/>
  <c r="L42" i="2" s="1"/>
  <c r="P42" i="2" s="1"/>
  <c r="Q42" i="2" s="1"/>
  <c r="S42" i="2" l="1"/>
  <c r="F42" i="2"/>
  <c r="W42" i="2" l="1"/>
  <c r="X42" i="2" s="1"/>
  <c r="E43" i="2"/>
  <c r="L43" i="2" s="1"/>
  <c r="P43" i="2" s="1"/>
  <c r="Q43" i="2" s="1"/>
  <c r="S43" i="2" l="1"/>
  <c r="F43" i="2"/>
  <c r="W43" i="2" l="1"/>
  <c r="X43" i="2" s="1"/>
  <c r="E44" i="2"/>
  <c r="L44" i="2" s="1"/>
  <c r="P44" i="2" s="1"/>
  <c r="Q44" i="2" s="1"/>
  <c r="S44" i="2" l="1"/>
  <c r="F44" i="2"/>
  <c r="W44" i="2" l="1"/>
  <c r="X44" i="2" s="1"/>
  <c r="E45" i="2"/>
  <c r="L45" i="2" s="1"/>
  <c r="P45" i="2" s="1"/>
  <c r="Q45" i="2" s="1"/>
  <c r="S45" i="2" l="1"/>
  <c r="F45" i="2"/>
  <c r="W45" i="2" l="1"/>
  <c r="X45" i="2" s="1"/>
  <c r="E46" i="2"/>
  <c r="L46" i="2" s="1"/>
  <c r="P46" i="2" s="1"/>
  <c r="Q46" i="2" s="1"/>
  <c r="S46" i="2" l="1"/>
  <c r="F46" i="2"/>
  <c r="W46" i="2" l="1"/>
  <c r="X46" i="2" s="1"/>
  <c r="E47" i="2"/>
  <c r="L47" i="2" s="1"/>
  <c r="P47" i="2" s="1"/>
  <c r="Q47" i="2" s="1"/>
  <c r="S47" i="2" l="1"/>
  <c r="F47" i="2"/>
  <c r="W47" i="2" l="1"/>
  <c r="X47" i="2" s="1"/>
  <c r="E48" i="2"/>
  <c r="L48" i="2" s="1"/>
  <c r="P48" i="2" s="1"/>
  <c r="Q48" i="2" s="1"/>
  <c r="S48" i="2" l="1"/>
  <c r="F48" i="2"/>
  <c r="W48" i="2" l="1"/>
  <c r="X48" i="2" s="1"/>
  <c r="E49" i="2"/>
  <c r="L49" i="2" s="1"/>
  <c r="P49" i="2" s="1"/>
  <c r="Q49" i="2" s="1"/>
  <c r="S49" i="2" l="1"/>
  <c r="F49" i="2"/>
  <c r="W49" i="2" l="1"/>
  <c r="X49" i="2" s="1"/>
  <c r="E50" i="2"/>
  <c r="L50" i="2" s="1"/>
  <c r="P50" i="2" s="1"/>
  <c r="Q50" i="2" s="1"/>
  <c r="S50" i="2" l="1"/>
  <c r="F50" i="2"/>
  <c r="W50" i="2" l="1"/>
  <c r="X50" i="2" s="1"/>
  <c r="E51" i="2"/>
  <c r="L51" i="2" s="1"/>
  <c r="P51" i="2" s="1"/>
  <c r="Q51" i="2" s="1"/>
  <c r="S51" i="2" l="1"/>
  <c r="F51" i="2"/>
  <c r="W51" i="2" l="1"/>
  <c r="X51" i="2" s="1"/>
  <c r="E52" i="2"/>
  <c r="L52" i="2" s="1"/>
  <c r="P52" i="2" s="1"/>
  <c r="Q52" i="2" s="1"/>
  <c r="F52" i="2" l="1"/>
  <c r="E53" i="2" s="1"/>
  <c r="L53" i="2" s="1"/>
  <c r="P53" i="2" s="1"/>
  <c r="Q53" i="2" s="1"/>
  <c r="S52" i="2"/>
  <c r="W52" i="2" l="1"/>
  <c r="X52" i="2" s="1"/>
  <c r="S53" i="2"/>
  <c r="F53" i="2"/>
  <c r="W53" i="2" l="1"/>
  <c r="X53" i="2" s="1"/>
  <c r="E54" i="2"/>
  <c r="L54" i="2" s="1"/>
  <c r="P54" i="2" s="1"/>
  <c r="Q54" i="2" s="1"/>
  <c r="F54" i="2" l="1"/>
  <c r="S54" i="2"/>
  <c r="E55" i="2"/>
  <c r="L55" i="2" s="1"/>
  <c r="P55" i="2" s="1"/>
  <c r="Q55" i="2" s="1"/>
  <c r="S55" i="2" l="1"/>
  <c r="W54" i="2"/>
  <c r="X54" i="2" s="1"/>
  <c r="F55" i="2"/>
  <c r="W55" i="2" l="1"/>
  <c r="X55" i="2" s="1"/>
</calcChain>
</file>

<file path=xl/sharedStrings.xml><?xml version="1.0" encoding="utf-8"?>
<sst xmlns="http://schemas.openxmlformats.org/spreadsheetml/2006/main" count="69" uniqueCount="57">
  <si>
    <t>The University of Texas at Tyler</t>
  </si>
  <si>
    <t>Energy-Efficiency Measures (EEM)</t>
  </si>
  <si>
    <t>Initial cost ($)</t>
  </si>
  <si>
    <t>First year energy cost savings ($)</t>
  </si>
  <si>
    <t>First year maintenance cost ($)</t>
  </si>
  <si>
    <t>Efficiency dearating factor (%)</t>
  </si>
  <si>
    <t>Mortgage</t>
  </si>
  <si>
    <t>Down payment rate (%)</t>
  </si>
  <si>
    <t>Down payment ($)</t>
  </si>
  <si>
    <t>Mortgage ($)</t>
  </si>
  <si>
    <t>Mortgage term (yr)</t>
  </si>
  <si>
    <t>Mortgage rate (%)</t>
  </si>
  <si>
    <t>Annual mortgage payment ($)</t>
  </si>
  <si>
    <t>Effective mortgage rate (%)</t>
  </si>
  <si>
    <t>Other factors</t>
  </si>
  <si>
    <t>General inflation rate (%)</t>
  </si>
  <si>
    <t>Marginal income tax rate(%)</t>
  </si>
  <si>
    <t>Property tax rate (%)</t>
  </si>
  <si>
    <t>Savings interest rate (%)</t>
  </si>
  <si>
    <t>Fuel</t>
  </si>
  <si>
    <t>Fuel escalation rate (%)</t>
  </si>
  <si>
    <t>Derating factor control</t>
  </si>
  <si>
    <t>Service life control</t>
  </si>
  <si>
    <t>Year</t>
  </si>
  <si>
    <t>Payment</t>
  </si>
  <si>
    <t>Interest</t>
  </si>
  <si>
    <t>Principal</t>
  </si>
  <si>
    <t>--</t>
  </si>
  <si>
    <t>Energy cost savings</t>
  </si>
  <si>
    <t>Maintenance cost</t>
  </si>
  <si>
    <t>Mortgage tax savings</t>
  </si>
  <si>
    <t>Property tax</t>
  </si>
  <si>
    <t>Nominal</t>
  </si>
  <si>
    <t>Net savings</t>
  </si>
  <si>
    <t>Savings account</t>
  </si>
  <si>
    <t>Market value</t>
  </si>
  <si>
    <t>Net assets</t>
  </si>
  <si>
    <t>Homeowner-Based Tool for Economic Analysis of Energy-Efficiency Measures in Residences</t>
  </si>
  <si>
    <t>The Texas Allergy, Indoor Environment, and Energy (TxAIRE) Institute</t>
  </si>
  <si>
    <t>Service life equal to house life</t>
  </si>
  <si>
    <t>Net savings adjusted by inflation ($)</t>
  </si>
  <si>
    <t>Net assets adjusted by inflation ($)</t>
  </si>
  <si>
    <t>Adjusted</t>
  </si>
  <si>
    <t>Variables definitions:</t>
  </si>
  <si>
    <t>- Fuel escalation rate is a nominal escalation rate or real escalation rate adjusted by inflation.</t>
  </si>
  <si>
    <t>- Time limit for energy savings refers to the number of years that future energy cost savings are used to estimate the EEM market value of an EEM with service life equal to the house service life.</t>
  </si>
  <si>
    <t>Conditionals:</t>
  </si>
  <si>
    <t>- Service life equal to house life:</t>
  </si>
  <si>
    <t>Checked: the service life of the EEM is estimated to be equal to the life of the house. This allows to define a "Time limit for energy savings."</t>
  </si>
  <si>
    <t>Unchecked: the service life of the EEM is estimated to be lower or equal to 30 years. This allows (a) to define a "Service life," and (b) activates the conditional "EEM will be replaced."</t>
  </si>
  <si>
    <t>- EEM will be replaced:</t>
  </si>
  <si>
    <t>Checked: results will be displayed until the last year of service life. This is done since a new analysis should be done after that period to account for variation in equipment efficiency and variation of technology cost other than inflation.</t>
  </si>
  <si>
    <t>Unchecked: results will be displayed beyond the last year of service life  to account for the impact of mortgage payments on the net assets associated to the project.</t>
  </si>
  <si>
    <t>Graphs:</t>
  </si>
  <si>
    <t>- Net savings adjusted by inflation: illustrates the net savings at today dollars that can be obtained for that specific year. Negative values means that the EEM produces losses.</t>
  </si>
  <si>
    <t>- First year maintenance cost refers to the incremental maintenance cost associated to the EEM at the beginning of the period of analysis.</t>
  </si>
  <si>
    <t>- Net assets adjusted by inflation: illustrates the incremental net assets at today dollars at a specific year. The net assets are computed based on the estimated market value. Therefore, if at any year the house is sold for less than the market value, the assets decrease proportionally.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</si>
</sst>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scheme val="minor"/>
    </font>
    <font>
      <sz val="11"/>
      <color theme="0"/>
      <name val="Calibri"/>
      <family val="2"/>
      <scheme val="minor"/>
    </font>
    <font>
      <sz val="11"/>
      <name val="Calibri"/>
      <family val="2"/>
      <scheme val="minor"/>
    </font>
    <font>
      <sz val="11"/>
      <color theme="0" tint="-0.34998626667073579"/>
      <name val="Calibri"/>
      <family val="2"/>
      <scheme val="minor"/>
    </font>
    <font>
      <u/>
      <sz val="11"/>
      <color theme="1"/>
      <name val="Calibri"/>
      <family val="2"/>
      <scheme val="minor"/>
    </font>
    <font>
      <sz val="11"/>
      <color theme="2" tint="-9.9978637043366805E-2"/>
      <name val="Calibri"/>
      <family val="2"/>
      <scheme val="minor"/>
    </font>
    <font>
      <sz val="12"/>
      <color theme="1"/>
      <name val="Times New Roman"/>
      <family val="1"/>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3" fillId="0" borderId="0" xfId="0" applyFont="1"/>
    <xf numFmtId="0" fontId="0" fillId="0" borderId="0" xfId="0" applyAlignment="1">
      <alignment horizontal="center"/>
    </xf>
    <xf numFmtId="0" fontId="3" fillId="0" borderId="0" xfId="0" applyFont="1" applyAlignment="1">
      <alignment horizontal="center"/>
    </xf>
    <xf numFmtId="3" fontId="0" fillId="0" borderId="0" xfId="0" applyNumberFormat="1"/>
    <xf numFmtId="3" fontId="0" fillId="0" borderId="0" xfId="0" quotePrefix="1" applyNumberFormat="1" applyAlignment="1">
      <alignment horizontal="center"/>
    </xf>
    <xf numFmtId="3" fontId="3" fillId="0" borderId="0" xfId="0" applyNumberFormat="1" applyFont="1"/>
    <xf numFmtId="0" fontId="0" fillId="0" borderId="1" xfId="0" applyBorder="1" applyAlignment="1">
      <alignment horizontal="center"/>
    </xf>
    <xf numFmtId="3" fontId="0" fillId="0" borderId="1" xfId="0" applyNumberFormat="1" applyBorder="1"/>
    <xf numFmtId="3" fontId="0" fillId="0" borderId="0" xfId="0" applyNumberFormat="1" applyAlignment="1">
      <alignment horizontal="center" vertical="center" wrapText="1"/>
    </xf>
    <xf numFmtId="3" fontId="0" fillId="0" borderId="0" xfId="0" applyNumberFormat="1" applyAlignment="1">
      <alignment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3" fontId="0" fillId="0" borderId="2" xfId="0" quotePrefix="1" applyNumberFormat="1" applyBorder="1" applyAlignment="1">
      <alignment horizontal="center"/>
    </xf>
    <xf numFmtId="3" fontId="0" fillId="0" borderId="3" xfId="0" applyNumberFormat="1" applyBorder="1"/>
    <xf numFmtId="3" fontId="0" fillId="0" borderId="4" xfId="0" applyNumberFormat="1" applyBorder="1"/>
    <xf numFmtId="3" fontId="0" fillId="0" borderId="2" xfId="0" applyNumberFormat="1" applyBorder="1"/>
    <xf numFmtId="0" fontId="0" fillId="0" borderId="2" xfId="0" quotePrefix="1" applyBorder="1" applyAlignment="1">
      <alignment horizontal="center"/>
    </xf>
    <xf numFmtId="0" fontId="0" fillId="2" borderId="0" xfId="0" applyFill="1"/>
    <xf numFmtId="0" fontId="0" fillId="2" borderId="8" xfId="0" applyFill="1" applyBorder="1"/>
    <xf numFmtId="0" fontId="0" fillId="2" borderId="0" xfId="0" applyFill="1" applyBorder="1"/>
    <xf numFmtId="0" fontId="0" fillId="2" borderId="9" xfId="0" applyFill="1" applyBorder="1"/>
    <xf numFmtId="0" fontId="0" fillId="2" borderId="0" xfId="0" applyFill="1" applyBorder="1" applyAlignment="1">
      <alignment horizontal="right"/>
    </xf>
    <xf numFmtId="0" fontId="0" fillId="2" borderId="10" xfId="0" applyFill="1" applyBorder="1"/>
    <xf numFmtId="0" fontId="0" fillId="2" borderId="11" xfId="0" applyFill="1" applyBorder="1"/>
    <xf numFmtId="0" fontId="0" fillId="2" borderId="12" xfId="0" applyFill="1" applyBorder="1"/>
    <xf numFmtId="0" fontId="1" fillId="2" borderId="0" xfId="0" applyFont="1" applyFill="1" applyBorder="1" applyAlignment="1">
      <alignment horizontal="right"/>
    </xf>
    <xf numFmtId="0" fontId="1" fillId="2" borderId="11" xfId="0" applyFont="1" applyFill="1" applyBorder="1" applyAlignment="1">
      <alignment horizontal="right"/>
    </xf>
    <xf numFmtId="0" fontId="4" fillId="2" borderId="8" xfId="0" applyFont="1" applyFill="1" applyBorder="1"/>
    <xf numFmtId="0" fontId="1" fillId="0" borderId="0" xfId="0" applyFont="1"/>
    <xf numFmtId="0" fontId="1" fillId="2" borderId="0" xfId="0" applyFont="1" applyFill="1" applyBorder="1"/>
    <xf numFmtId="0" fontId="0" fillId="3" borderId="13" xfId="0" applyFill="1" applyBorder="1" applyAlignment="1">
      <alignment horizontal="left"/>
    </xf>
    <xf numFmtId="0" fontId="5" fillId="3" borderId="13" xfId="0" applyFont="1" applyFill="1" applyBorder="1" applyAlignment="1" applyProtection="1">
      <protection locked="0"/>
    </xf>
    <xf numFmtId="0" fontId="5" fillId="3" borderId="14" xfId="0" applyFont="1" applyFill="1" applyBorder="1" applyProtection="1">
      <protection locked="0"/>
    </xf>
    <xf numFmtId="0" fontId="0" fillId="3" borderId="14" xfId="0" applyFill="1" applyBorder="1" applyAlignment="1">
      <alignment horizontal="left"/>
    </xf>
    <xf numFmtId="49" fontId="0" fillId="2" borderId="0" xfId="0" applyNumberFormat="1" applyFill="1"/>
    <xf numFmtId="0" fontId="6" fillId="2" borderId="0" xfId="0" applyFont="1" applyFill="1"/>
    <xf numFmtId="0" fontId="7" fillId="2" borderId="0" xfId="0" applyFont="1" applyFill="1"/>
    <xf numFmtId="0" fontId="1" fillId="2" borderId="11" xfId="0" applyNumberFormat="1" applyFont="1" applyFill="1" applyBorder="1" applyAlignment="1">
      <alignment horizontal="center"/>
    </xf>
    <xf numFmtId="0" fontId="2" fillId="3" borderId="13" xfId="0" applyFont="1" applyFill="1" applyBorder="1" applyAlignment="1" applyProtection="1">
      <alignment horizontal="center"/>
      <protection locked="0"/>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0" xfId="0" applyFill="1" applyBorder="1" applyAlignment="1">
      <alignment horizontal="center"/>
    </xf>
    <xf numFmtId="0" fontId="0" fillId="2" borderId="9" xfId="0" applyFill="1" applyBorder="1" applyAlignment="1">
      <alignment horizontal="center"/>
    </xf>
    <xf numFmtId="10" fontId="2" fillId="3" borderId="13" xfId="0" applyNumberFormat="1" applyFont="1" applyFill="1" applyBorder="1" applyAlignment="1" applyProtection="1">
      <alignment horizontal="center"/>
      <protection locked="0"/>
    </xf>
    <xf numFmtId="1" fontId="2" fillId="2" borderId="14" xfId="0" applyNumberFormat="1" applyFont="1" applyFill="1" applyBorder="1" applyAlignment="1" applyProtection="1">
      <alignment horizontal="center"/>
    </xf>
    <xf numFmtId="10" fontId="1" fillId="2" borderId="0" xfId="0" applyNumberFormat="1" applyFont="1" applyFill="1" applyBorder="1" applyAlignment="1" applyProtection="1">
      <alignment horizontal="center"/>
    </xf>
    <xf numFmtId="10" fontId="2" fillId="3" borderId="13" xfId="0" applyNumberFormat="1" applyFont="1" applyFill="1" applyBorder="1" applyAlignment="1" applyProtection="1">
      <alignment horizontal="center"/>
    </xf>
    <xf numFmtId="164" fontId="2" fillId="3" borderId="13" xfId="0" applyNumberFormat="1" applyFont="1" applyFill="1" applyBorder="1" applyAlignment="1" applyProtection="1">
      <alignment horizontal="center"/>
      <protection locked="0"/>
    </xf>
    <xf numFmtId="10" fontId="1" fillId="2" borderId="0" xfId="0" applyNumberFormat="1" applyFont="1" applyFill="1" applyBorder="1" applyAlignment="1" applyProtection="1">
      <alignment horizontal="center"/>
      <protection locked="0"/>
    </xf>
    <xf numFmtId="0" fontId="1" fillId="2" borderId="0" xfId="0" applyFont="1" applyFill="1" applyBorder="1" applyAlignment="1">
      <alignment horizontal="center"/>
    </xf>
    <xf numFmtId="0" fontId="1" fillId="2" borderId="0" xfId="0" applyFont="1" applyFill="1" applyAlignment="1" applyProtection="1">
      <alignment horizontal="center"/>
      <protection locked="0"/>
    </xf>
    <xf numFmtId="0" fontId="2" fillId="2" borderId="14" xfId="0" applyFont="1" applyFill="1" applyBorder="1" applyAlignment="1" applyProtection="1">
      <alignment horizontal="center"/>
    </xf>
    <xf numFmtId="0" fontId="1" fillId="2" borderId="0" xfId="0" applyNumberFormat="1" applyFont="1" applyFill="1" applyBorder="1" applyAlignment="1">
      <alignment horizontal="center"/>
    </xf>
    <xf numFmtId="0" fontId="0" fillId="2" borderId="0" xfId="0" applyFill="1" applyAlignment="1">
      <alignment horizontal="left" vertical="center" wrapText="1"/>
    </xf>
    <xf numFmtId="0" fontId="0" fillId="0" borderId="0" xfId="0" applyAlignment="1">
      <alignment horizontal="left" vertical="center" wrapText="1"/>
    </xf>
    <xf numFmtId="49" fontId="0" fillId="2" borderId="0" xfId="0" applyNumberFormat="1" applyFill="1" applyAlignment="1">
      <alignment horizontal="left" vertical="center" wrapText="1"/>
    </xf>
    <xf numFmtId="0" fontId="0" fillId="0" borderId="1" xfId="0" applyBorder="1" applyAlignment="1">
      <alignment horizontal="center"/>
    </xf>
    <xf numFmtId="3" fontId="0" fillId="0" borderId="1" xfId="0" applyNumberFormat="1" applyBorder="1" applyAlignment="1">
      <alignment horizontal="center" vertical="center" wrapText="1"/>
    </xf>
    <xf numFmtId="3" fontId="0" fillId="0" borderId="1" xfId="0" applyNumberForma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C00000"/>
            </a:solidFill>
          </c:spPr>
          <c:invertIfNegative val="0"/>
          <c:cat>
            <c:numRef>
              <c:f>Computations!$A$6:$A$35</c:f>
              <c:numCache>
                <c:formatCode>General</c:formatCode>
                <c:ptCount val="30"/>
                <c:pt idx="1">
                  <c:v>2</c:v>
                </c:pt>
                <c:pt idx="3">
                  <c:v>4</c:v>
                </c:pt>
                <c:pt idx="5">
                  <c:v>6</c:v>
                </c:pt>
                <c:pt idx="7">
                  <c:v>8</c:v>
                </c:pt>
                <c:pt idx="9">
                  <c:v>10</c:v>
                </c:pt>
                <c:pt idx="11">
                  <c:v>12</c:v>
                </c:pt>
                <c:pt idx="13">
                  <c:v>14</c:v>
                </c:pt>
                <c:pt idx="15">
                  <c:v>16</c:v>
                </c:pt>
                <c:pt idx="17">
                  <c:v>18</c:v>
                </c:pt>
                <c:pt idx="19">
                  <c:v>20</c:v>
                </c:pt>
                <c:pt idx="21">
                  <c:v>22</c:v>
                </c:pt>
                <c:pt idx="23">
                  <c:v>24</c:v>
                </c:pt>
                <c:pt idx="25">
                  <c:v>26</c:v>
                </c:pt>
                <c:pt idx="27">
                  <c:v>28</c:v>
                </c:pt>
                <c:pt idx="29">
                  <c:v>30</c:v>
                </c:pt>
              </c:numCache>
            </c:numRef>
          </c:cat>
          <c:val>
            <c:numRef>
              <c:f>Computations!$Q$6:$Q$35</c:f>
              <c:numCache>
                <c:formatCode>#,##0</c:formatCode>
                <c:ptCount val="30"/>
                <c:pt idx="0">
                  <c:v>53.037704431341879</c:v>
                </c:pt>
                <c:pt idx="1">
                  <c:v>75.499139571727923</c:v>
                </c:pt>
                <c:pt idx="2">
                  <c:v>97.35642878475673</c:v>
                </c:pt>
                <c:pt idx="3">
                  <c:v>118.62348334603401</c:v>
                </c:pt>
                <c:pt idx="4">
                  <c:v>139.31386317335637</c:v>
                </c:pt>
                <c:pt idx="5">
                  <c:v>159.44078521995033</c:v>
                </c:pt>
                <c:pt idx="6">
                  <c:v>179.01713166041452</c:v>
                </c:pt>
                <c:pt idx="7">
                  <c:v>198.05545787438561</c:v>
                </c:pt>
                <c:pt idx="8">
                  <c:v>216.56800023282003</c:v>
                </c:pt>
                <c:pt idx="9">
                  <c:v>234.56668369167218</c:v>
                </c:pt>
                <c:pt idx="10">
                  <c:v>252.06312919762186</c:v>
                </c:pt>
                <c:pt idx="11">
                  <c:v>269.06866091039677</c:v>
                </c:pt>
                <c:pt idx="12">
                  <c:v>285.59431324612552</c:v>
                </c:pt>
                <c:pt idx="13">
                  <c:v>301.65083774604005</c:v>
                </c:pt>
                <c:pt idx="14">
                  <c:v>317.24870977475007</c:v>
                </c:pt>
                <c:pt idx="15">
                  <c:v>332.39813505220087</c:v>
                </c:pt>
                <c:pt idx="16">
                  <c:v>347.10905602332815</c:v>
                </c:pt>
                <c:pt idx="17">
                  <c:v>361.39115806932801</c:v>
                </c:pt>
                <c:pt idx="18">
                  <c:v>375.25387556435601</c:v>
                </c:pt>
                <c:pt idx="19">
                  <c:v>388.70639778138224</c:v>
                </c:pt>
                <c:pt idx="20">
                  <c:v>401.75767465083874</c:v>
                </c:pt>
                <c:pt idx="21">
                  <c:v>414.41642237559921</c:v>
                </c:pt>
                <c:pt idx="22">
                  <c:v>426.69112890574951</c:v>
                </c:pt>
                <c:pt idx="23">
                  <c:v>438.59005927652288</c:v>
                </c:pt>
                <c:pt idx="24">
                  <c:v>450.12126081268519</c:v>
                </c:pt>
                <c:pt idx="25">
                  <c:v>-670.41474887058826</c:v>
                </c:pt>
                <c:pt idx="26">
                  <c:v>-659.5957086281926</c:v>
                </c:pt>
                <c:pt idx="27">
                  <c:v>-649.12151140144101</c:v>
                </c:pt>
                <c:pt idx="28">
                  <c:v>-638.98493122388356</c:v>
                </c:pt>
                <c:pt idx="29">
                  <c:v>-629.17893571125978</c:v>
                </c:pt>
              </c:numCache>
            </c:numRef>
          </c:val>
        </c:ser>
        <c:dLbls>
          <c:showLegendKey val="0"/>
          <c:showVal val="0"/>
          <c:showCatName val="0"/>
          <c:showSerName val="0"/>
          <c:showPercent val="0"/>
          <c:showBubbleSize val="0"/>
        </c:dLbls>
        <c:gapWidth val="150"/>
        <c:axId val="177820032"/>
        <c:axId val="177821568"/>
      </c:barChart>
      <c:catAx>
        <c:axId val="177820032"/>
        <c:scaling>
          <c:orientation val="minMax"/>
        </c:scaling>
        <c:delete val="0"/>
        <c:axPos val="b"/>
        <c:numFmt formatCode="General" sourceLinked="1"/>
        <c:majorTickMark val="out"/>
        <c:minorTickMark val="none"/>
        <c:tickLblPos val="nextTo"/>
        <c:crossAx val="177821568"/>
        <c:crosses val="autoZero"/>
        <c:auto val="1"/>
        <c:lblAlgn val="ctr"/>
        <c:lblOffset val="100"/>
        <c:noMultiLvlLbl val="0"/>
      </c:catAx>
      <c:valAx>
        <c:axId val="177821568"/>
        <c:scaling>
          <c:orientation val="minMax"/>
        </c:scaling>
        <c:delete val="0"/>
        <c:axPos val="l"/>
        <c:majorGridlines/>
        <c:numFmt formatCode="#,##0" sourceLinked="1"/>
        <c:majorTickMark val="out"/>
        <c:minorTickMark val="none"/>
        <c:tickLblPos val="nextTo"/>
        <c:crossAx val="177820032"/>
        <c:crosses val="autoZero"/>
        <c:crossBetween val="between"/>
      </c:valAx>
      <c:spPr>
        <a:solidFill>
          <a:schemeClr val="accent6">
            <a:lumMod val="20000"/>
            <a:lumOff val="80000"/>
          </a:schemeClr>
        </a:solidFill>
      </c:spPr>
    </c:plotArea>
    <c:plotVisOnly val="1"/>
    <c:dispBlanksAs val="gap"/>
    <c:showDLblsOverMax val="0"/>
  </c:chart>
  <c:spPr>
    <a:solidFill>
      <a:schemeClr val="accent6">
        <a:lumMod val="20000"/>
        <a:lumOff val="80000"/>
      </a:schemeClr>
    </a:solidFill>
    <a:ln w="12700">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C00000"/>
            </a:solidFill>
          </c:spPr>
          <c:invertIfNegative val="0"/>
          <c:cat>
            <c:numRef>
              <c:f>Computations!$A$6:$A$35</c:f>
              <c:numCache>
                <c:formatCode>General</c:formatCode>
                <c:ptCount val="30"/>
                <c:pt idx="1">
                  <c:v>2</c:v>
                </c:pt>
                <c:pt idx="3">
                  <c:v>4</c:v>
                </c:pt>
                <c:pt idx="5">
                  <c:v>6</c:v>
                </c:pt>
                <c:pt idx="7">
                  <c:v>8</c:v>
                </c:pt>
                <c:pt idx="9">
                  <c:v>10</c:v>
                </c:pt>
                <c:pt idx="11">
                  <c:v>12</c:v>
                </c:pt>
                <c:pt idx="13">
                  <c:v>14</c:v>
                </c:pt>
                <c:pt idx="15">
                  <c:v>16</c:v>
                </c:pt>
                <c:pt idx="17">
                  <c:v>18</c:v>
                </c:pt>
                <c:pt idx="19">
                  <c:v>20</c:v>
                </c:pt>
                <c:pt idx="21">
                  <c:v>22</c:v>
                </c:pt>
                <c:pt idx="23">
                  <c:v>24</c:v>
                </c:pt>
                <c:pt idx="25">
                  <c:v>26</c:v>
                </c:pt>
                <c:pt idx="27">
                  <c:v>28</c:v>
                </c:pt>
                <c:pt idx="29">
                  <c:v>30</c:v>
                </c:pt>
              </c:numCache>
            </c:numRef>
          </c:cat>
          <c:val>
            <c:numRef>
              <c:f>Computations!$X$6:$X$35</c:f>
              <c:numCache>
                <c:formatCode>#,##0</c:formatCode>
                <c:ptCount val="30"/>
                <c:pt idx="0">
                  <c:v>3849.5643740752635</c:v>
                </c:pt>
                <c:pt idx="1">
                  <c:v>3840.0500539487821</c:v>
                </c:pt>
                <c:pt idx="2">
                  <c:v>3830.4893225046349</c:v>
                </c:pt>
                <c:pt idx="3">
                  <c:v>3820.8819533460914</c:v>
                </c:pt>
                <c:pt idx="4">
                  <c:v>3811.2277189721481</c:v>
                </c:pt>
                <c:pt idx="5">
                  <c:v>3801.5263907719882</c:v>
                </c:pt>
                <c:pt idx="6">
                  <c:v>3791.7777390196288</c:v>
                </c:pt>
                <c:pt idx="7">
                  <c:v>3781.9815328685017</c:v>
                </c:pt>
                <c:pt idx="8">
                  <c:v>3772.1375403458742</c:v>
                </c:pt>
                <c:pt idx="9">
                  <c:v>3762.2455283475606</c:v>
                </c:pt>
                <c:pt idx="10">
                  <c:v>3752.3052626321664</c:v>
                </c:pt>
                <c:pt idx="11">
                  <c:v>3742.3165078157012</c:v>
                </c:pt>
                <c:pt idx="12">
                  <c:v>3732.2790273660066</c:v>
                </c:pt>
                <c:pt idx="13">
                  <c:v>3722.1925835970324</c:v>
                </c:pt>
                <c:pt idx="14">
                  <c:v>3712.0569376633421</c:v>
                </c:pt>
                <c:pt idx="15">
                  <c:v>3701.8718495543549</c:v>
                </c:pt>
                <c:pt idx="16">
                  <c:v>3691.637078088751</c:v>
                </c:pt>
                <c:pt idx="17">
                  <c:v>3681.3523809086837</c:v>
                </c:pt>
                <c:pt idx="18">
                  <c:v>3671.0175144740811</c:v>
                </c:pt>
                <c:pt idx="19">
                  <c:v>3660.6322340568399</c:v>
                </c:pt>
                <c:pt idx="20">
                  <c:v>3650.1962937351536</c:v>
                </c:pt>
                <c:pt idx="21">
                  <c:v>3639.7094463875001</c:v>
                </c:pt>
                <c:pt idx="22">
                  <c:v>3629.1714436869361</c:v>
                </c:pt>
                <c:pt idx="23">
                  <c:v>3618.5820360951448</c:v>
                </c:pt>
                <c:pt idx="24">
                  <c:v>3607.9409728565579</c:v>
                </c:pt>
                <c:pt idx="25">
                  <c:v>3625.5406849192736</c:v>
                </c:pt>
                <c:pt idx="26">
                  <c:v>3643.2262492359532</c:v>
                </c:pt>
                <c:pt idx="27">
                  <c:v>3660.9980845980804</c:v>
                </c:pt>
                <c:pt idx="28">
                  <c:v>3678.8566118400222</c:v>
                </c:pt>
                <c:pt idx="29">
                  <c:v>3696.802253849</c:v>
                </c:pt>
              </c:numCache>
            </c:numRef>
          </c:val>
        </c:ser>
        <c:dLbls>
          <c:showLegendKey val="0"/>
          <c:showVal val="0"/>
          <c:showCatName val="0"/>
          <c:showSerName val="0"/>
          <c:showPercent val="0"/>
          <c:showBubbleSize val="0"/>
        </c:dLbls>
        <c:gapWidth val="150"/>
        <c:axId val="178459776"/>
        <c:axId val="178461312"/>
      </c:barChart>
      <c:catAx>
        <c:axId val="178459776"/>
        <c:scaling>
          <c:orientation val="minMax"/>
        </c:scaling>
        <c:delete val="0"/>
        <c:axPos val="b"/>
        <c:numFmt formatCode="General" sourceLinked="1"/>
        <c:majorTickMark val="out"/>
        <c:minorTickMark val="none"/>
        <c:tickLblPos val="nextTo"/>
        <c:crossAx val="178461312"/>
        <c:crosses val="autoZero"/>
        <c:auto val="1"/>
        <c:lblAlgn val="ctr"/>
        <c:lblOffset val="100"/>
        <c:tickMarkSkip val="1"/>
        <c:noMultiLvlLbl val="0"/>
      </c:catAx>
      <c:valAx>
        <c:axId val="178461312"/>
        <c:scaling>
          <c:orientation val="minMax"/>
        </c:scaling>
        <c:delete val="0"/>
        <c:axPos val="l"/>
        <c:majorGridlines/>
        <c:numFmt formatCode="#,##0" sourceLinked="1"/>
        <c:majorTickMark val="out"/>
        <c:minorTickMark val="none"/>
        <c:tickLblPos val="nextTo"/>
        <c:crossAx val="178459776"/>
        <c:crosses val="autoZero"/>
        <c:crossBetween val="between"/>
      </c:valAx>
      <c:spPr>
        <a:solidFill>
          <a:schemeClr val="accent6">
            <a:lumMod val="20000"/>
            <a:lumOff val="80000"/>
          </a:schemeClr>
        </a:solidFill>
      </c:spPr>
    </c:plotArea>
    <c:plotVisOnly val="1"/>
    <c:dispBlanksAs val="gap"/>
    <c:showDLblsOverMax val="0"/>
  </c:chart>
  <c:spPr>
    <a:solidFill>
      <a:schemeClr val="accent6">
        <a:lumMod val="20000"/>
        <a:lumOff val="80000"/>
      </a:schemeClr>
    </a:solidFill>
    <a:ln w="12700">
      <a:solidFill>
        <a:schemeClr val="tx1"/>
      </a:solidFill>
    </a:ln>
  </c:spPr>
  <c:printSettings>
    <c:headerFooter/>
    <c:pageMargins b="0.75" l="0.7" r="0.7" t="0.75" header="0.3" footer="0.3"/>
    <c:pageSetup/>
  </c:printSettings>
</c:chartSpace>
</file>

<file path=xl/ctrlProps/ctrlProp1.xml><?xml version="1.0" encoding="utf-8"?>
<formControlPr xmlns="http://schemas.microsoft.com/office/spreadsheetml/2009/9/main" objectType="CheckBox" fmlaLink="C10" lockText="1" noThreeD="1"/>
</file>

<file path=xl/ctrlProps/ctrlProp2.xml><?xml version="1.0" encoding="utf-8"?>
<formControlPr xmlns="http://schemas.microsoft.com/office/spreadsheetml/2009/9/main" objectType="CheckBox" fmlaLink="C13" lockText="1" noThreeD="1"/>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9</xdr:row>
          <xdr:rowOff>19050</xdr:rowOff>
        </xdr:from>
        <xdr:to>
          <xdr:col>3</xdr:col>
          <xdr:colOff>295275</xdr:colOff>
          <xdr:row>9</xdr:row>
          <xdr:rowOff>161925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twoCellAnchor>
    <xdr:from>
      <xdr:col>4</xdr:col>
      <xdr:colOff>265044</xdr:colOff>
      <xdr:row>3</xdr:row>
      <xdr:rowOff>164824</xdr:rowOff>
    </xdr:from>
    <xdr:to>
      <xdr:col>10</xdr:col>
      <xdr:colOff>836544</xdr:colOff>
      <xdr:row>15</xdr:row>
      <xdr:rowOff>157370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265045</xdr:colOff>
      <xdr:row>17</xdr:row>
      <xdr:rowOff>173936</xdr:rowOff>
    </xdr:from>
    <xdr:to>
      <xdr:col>10</xdr:col>
      <xdr:colOff>836545</xdr:colOff>
      <xdr:row>29</xdr:row>
      <xdr:rowOff>166482</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28575</xdr:colOff>
          <xdr:row>12</xdr:row>
          <xdr:rowOff>38100</xdr:rowOff>
        </xdr:from>
        <xdr:to>
          <xdr:col>3</xdr:col>
          <xdr:colOff>266700</xdr:colOff>
          <xdr:row>12</xdr:row>
          <xdr:rowOff>180975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2"/>
  <sheetViews>
    <sheetView tabSelected="1" zoomScale="115" zoomScaleNormal="115" workbookViewId="0">
      <selection activeCell="C6" sqref="C6:D6"/>
    </sheetView>
  </sheetViews>
  <sheetFormatPr defaultRowHeight="15" x14ac:dyDescent="0.25"/>
  <cols>
    <col min="1" max="1" width="3.7109375" style="21" customWidth="1"/>
    <col min="2" max="2" width="30.140625" style="21" customWidth="1"/>
    <col min="3" max="4" width="4.7109375" style="21" customWidth="1"/>
    <col min="5" max="10" width="9.140625" style="21"/>
    <col min="11" max="11" width="16.28515625" style="21" customWidth="1"/>
    <col min="12" max="16384" width="9.140625" style="21"/>
  </cols>
  <sheetData>
    <row r="1" spans="1:11" x14ac:dyDescent="0.25">
      <c r="A1" s="43" t="s">
        <v>37</v>
      </c>
      <c r="B1" s="44"/>
      <c r="C1" s="44"/>
      <c r="D1" s="44"/>
      <c r="E1" s="44"/>
      <c r="F1" s="44"/>
      <c r="G1" s="44"/>
      <c r="H1" s="44"/>
      <c r="I1" s="44"/>
      <c r="J1" s="44"/>
      <c r="K1" s="45"/>
    </row>
    <row r="2" spans="1:11" x14ac:dyDescent="0.25">
      <c r="A2" s="46" t="s">
        <v>38</v>
      </c>
      <c r="B2" s="47"/>
      <c r="C2" s="47"/>
      <c r="D2" s="47"/>
      <c r="E2" s="47"/>
      <c r="F2" s="47"/>
      <c r="G2" s="47"/>
      <c r="H2" s="47"/>
      <c r="I2" s="47"/>
      <c r="J2" s="47"/>
      <c r="K2" s="48"/>
    </row>
    <row r="3" spans="1:11" x14ac:dyDescent="0.25">
      <c r="A3" s="46" t="s">
        <v>0</v>
      </c>
      <c r="B3" s="47"/>
      <c r="C3" s="47"/>
      <c r="D3" s="47"/>
      <c r="E3" s="47"/>
      <c r="F3" s="47"/>
      <c r="G3" s="47"/>
      <c r="H3" s="47"/>
      <c r="I3" s="47"/>
      <c r="J3" s="47"/>
      <c r="K3" s="48"/>
    </row>
    <row r="4" spans="1:11" x14ac:dyDescent="0.25">
      <c r="A4" s="22"/>
      <c r="B4" s="23"/>
      <c r="C4" s="23"/>
      <c r="D4" s="23"/>
      <c r="E4" s="23"/>
      <c r="F4" s="23"/>
      <c r="G4" s="23"/>
      <c r="H4" s="23"/>
      <c r="I4" s="23"/>
      <c r="J4" s="23"/>
      <c r="K4" s="24"/>
    </row>
    <row r="5" spans="1:11" x14ac:dyDescent="0.25">
      <c r="A5" s="31" t="s">
        <v>1</v>
      </c>
      <c r="B5" s="23"/>
      <c r="C5" s="23"/>
      <c r="D5" s="23"/>
      <c r="E5" s="23"/>
      <c r="F5" s="23"/>
      <c r="G5" s="23"/>
      <c r="H5" s="23"/>
      <c r="I5" s="23"/>
      <c r="J5" s="23"/>
      <c r="K5" s="24"/>
    </row>
    <row r="6" spans="1:11" x14ac:dyDescent="0.25">
      <c r="A6" s="22"/>
      <c r="B6" s="25" t="s">
        <v>2</v>
      </c>
      <c r="C6" s="42">
        <v>23380</v>
      </c>
      <c r="D6" s="42"/>
      <c r="E6" s="23"/>
      <c r="F6" s="23"/>
      <c r="G6" s="23"/>
      <c r="H6" s="23"/>
      <c r="I6" s="23"/>
      <c r="J6" s="23"/>
      <c r="K6" s="24"/>
    </row>
    <row r="7" spans="1:11" x14ac:dyDescent="0.25">
      <c r="A7" s="22"/>
      <c r="B7" s="25" t="s">
        <v>3</v>
      </c>
      <c r="C7" s="42">
        <v>1160</v>
      </c>
      <c r="D7" s="42"/>
      <c r="E7" s="23"/>
      <c r="F7" s="23"/>
      <c r="G7" s="23"/>
      <c r="H7" s="23"/>
      <c r="I7" s="23"/>
      <c r="J7" s="23"/>
      <c r="K7" s="24"/>
    </row>
    <row r="8" spans="1:11" x14ac:dyDescent="0.25">
      <c r="A8" s="22"/>
      <c r="B8" s="25" t="s">
        <v>4</v>
      </c>
      <c r="C8" s="42">
        <v>0</v>
      </c>
      <c r="D8" s="42"/>
      <c r="E8" s="23"/>
      <c r="F8" s="23"/>
      <c r="G8" s="23"/>
      <c r="H8" s="23"/>
      <c r="I8" s="23"/>
      <c r="J8" s="23"/>
      <c r="K8" s="24"/>
    </row>
    <row r="9" spans="1:11" x14ac:dyDescent="0.25">
      <c r="A9" s="22"/>
      <c r="B9" s="25" t="s">
        <v>5</v>
      </c>
      <c r="C9" s="49">
        <v>0</v>
      </c>
      <c r="D9" s="49"/>
      <c r="E9" s="23"/>
      <c r="F9" s="23"/>
      <c r="G9" s="23"/>
      <c r="H9" s="23"/>
      <c r="I9" s="23"/>
      <c r="J9" s="23"/>
      <c r="K9" s="24"/>
    </row>
    <row r="10" spans="1:11" x14ac:dyDescent="0.25">
      <c r="A10" s="22"/>
      <c r="B10" s="25" t="s">
        <v>39</v>
      </c>
      <c r="C10" s="54" t="b">
        <v>0</v>
      </c>
      <c r="D10" s="54"/>
      <c r="E10" s="23"/>
      <c r="F10" s="23"/>
      <c r="G10" s="23"/>
      <c r="H10" s="23"/>
      <c r="I10" s="23"/>
      <c r="J10" s="23"/>
      <c r="K10" s="24"/>
    </row>
    <row r="11" spans="1:11" x14ac:dyDescent="0.25">
      <c r="A11" s="22"/>
      <c r="B11" s="25" t="str">
        <f>IF(Control=FALSE,"Service life (yr)","")</f>
        <v>Service life (yr)</v>
      </c>
      <c r="C11" s="35">
        <v>25</v>
      </c>
      <c r="D11" s="34">
        <f>IF(Control=FALSE,C11,"")</f>
        <v>25</v>
      </c>
      <c r="E11" s="23"/>
      <c r="F11" s="23"/>
      <c r="G11" s="23"/>
      <c r="H11" s="23"/>
      <c r="I11" s="23"/>
      <c r="J11" s="23"/>
      <c r="K11" s="24"/>
    </row>
    <row r="12" spans="1:11" x14ac:dyDescent="0.25">
      <c r="A12" s="22"/>
      <c r="B12" s="25" t="str">
        <f>IF(Control=TRUE,"Time limit for energy savings (yr)","")</f>
        <v/>
      </c>
      <c r="C12" s="36">
        <v>20</v>
      </c>
      <c r="D12" s="37" t="str">
        <f>IF(Control=TRUE,C12,"")</f>
        <v/>
      </c>
      <c r="E12" s="23"/>
      <c r="F12" s="23"/>
      <c r="G12" s="23"/>
      <c r="H12" s="23"/>
      <c r="I12" s="23"/>
      <c r="J12" s="23"/>
      <c r="K12" s="24"/>
    </row>
    <row r="13" spans="1:11" x14ac:dyDescent="0.25">
      <c r="A13" s="22"/>
      <c r="B13" s="25" t="str">
        <f>IF(Control=TRUE,"","EEM will be replaced")</f>
        <v>EEM will be replaced</v>
      </c>
      <c r="C13" s="56" t="b">
        <v>0</v>
      </c>
      <c r="D13" s="56"/>
      <c r="E13" s="23"/>
      <c r="F13" s="23"/>
      <c r="G13" s="23"/>
      <c r="H13" s="23"/>
      <c r="I13" s="23"/>
      <c r="J13" s="23"/>
      <c r="K13" s="24"/>
    </row>
    <row r="14" spans="1:11" x14ac:dyDescent="0.25">
      <c r="A14" s="31" t="s">
        <v>19</v>
      </c>
      <c r="B14" s="25"/>
      <c r="C14" s="55" t="b">
        <f>IF(Control=TRUE,FALSE,C13)</f>
        <v>0</v>
      </c>
      <c r="D14" s="55"/>
      <c r="E14" s="23"/>
      <c r="F14" s="23"/>
      <c r="G14" s="23"/>
      <c r="H14" s="23"/>
      <c r="I14" s="23"/>
      <c r="J14" s="23"/>
      <c r="K14" s="24"/>
    </row>
    <row r="15" spans="1:11" x14ac:dyDescent="0.25">
      <c r="A15" s="22"/>
      <c r="B15" s="25" t="s">
        <v>20</v>
      </c>
      <c r="C15" s="52">
        <v>2.5000000000000001E-2</v>
      </c>
      <c r="D15" s="52"/>
      <c r="E15" s="23"/>
      <c r="F15" s="23"/>
      <c r="G15" s="23"/>
      <c r="H15" s="23"/>
      <c r="I15" s="23"/>
      <c r="J15" s="23"/>
      <c r="K15" s="24"/>
    </row>
    <row r="16" spans="1:11" x14ac:dyDescent="0.25">
      <c r="A16" s="22"/>
      <c r="B16" s="23"/>
      <c r="C16" s="23"/>
      <c r="D16" s="23"/>
      <c r="E16" s="23"/>
      <c r="F16" s="23"/>
      <c r="G16" s="23"/>
      <c r="H16" s="23"/>
      <c r="I16" s="23"/>
      <c r="J16" s="23"/>
      <c r="K16" s="24"/>
    </row>
    <row r="17" spans="1:11" x14ac:dyDescent="0.25">
      <c r="A17" s="31" t="s">
        <v>6</v>
      </c>
      <c r="B17" s="23"/>
      <c r="C17" s="23"/>
      <c r="D17" s="23"/>
      <c r="E17" s="47" t="s">
        <v>40</v>
      </c>
      <c r="F17" s="47"/>
      <c r="G17" s="47"/>
      <c r="H17" s="47"/>
      <c r="I17" s="47"/>
      <c r="J17" s="47"/>
      <c r="K17" s="48"/>
    </row>
    <row r="18" spans="1:11" x14ac:dyDescent="0.25">
      <c r="A18" s="22"/>
      <c r="B18" s="25" t="s">
        <v>7</v>
      </c>
      <c r="C18" s="53">
        <v>0</v>
      </c>
      <c r="D18" s="53"/>
      <c r="E18" s="23"/>
      <c r="F18" s="23"/>
      <c r="G18" s="23"/>
      <c r="H18" s="23"/>
      <c r="I18" s="23"/>
      <c r="J18" s="23"/>
      <c r="K18" s="24"/>
    </row>
    <row r="19" spans="1:11" x14ac:dyDescent="0.25">
      <c r="A19" s="22"/>
      <c r="B19" s="25" t="s">
        <v>8</v>
      </c>
      <c r="C19" s="57">
        <f>CC*rdp</f>
        <v>0</v>
      </c>
      <c r="D19" s="57"/>
      <c r="E19" s="23"/>
      <c r="F19" s="23"/>
      <c r="G19" s="23"/>
      <c r="H19" s="23"/>
      <c r="I19" s="23"/>
      <c r="J19" s="23"/>
      <c r="K19" s="24"/>
    </row>
    <row r="20" spans="1:11" x14ac:dyDescent="0.25">
      <c r="A20" s="22"/>
      <c r="B20" s="25" t="s">
        <v>9</v>
      </c>
      <c r="C20" s="57">
        <f>CC-DP</f>
        <v>23380</v>
      </c>
      <c r="D20" s="57"/>
      <c r="E20" s="23"/>
      <c r="F20" s="23"/>
      <c r="G20" s="23"/>
      <c r="H20" s="23"/>
      <c r="I20" s="23"/>
      <c r="J20" s="23"/>
      <c r="K20" s="24"/>
    </row>
    <row r="21" spans="1:11" x14ac:dyDescent="0.25">
      <c r="A21" s="22"/>
      <c r="B21" s="25" t="s">
        <v>10</v>
      </c>
      <c r="C21" s="42">
        <v>30</v>
      </c>
      <c r="D21" s="42"/>
      <c r="E21" s="23"/>
      <c r="F21" s="23"/>
      <c r="G21" s="23"/>
      <c r="H21" s="23"/>
      <c r="I21" s="23"/>
      <c r="J21" s="23"/>
      <c r="K21" s="24"/>
    </row>
    <row r="22" spans="1:11" x14ac:dyDescent="0.25">
      <c r="A22" s="22"/>
      <c r="B22" s="25" t="s">
        <v>11</v>
      </c>
      <c r="C22" s="49">
        <v>0.04</v>
      </c>
      <c r="D22" s="49"/>
      <c r="E22" s="23"/>
      <c r="F22" s="23"/>
      <c r="G22" s="23"/>
      <c r="H22" s="23"/>
      <c r="I22" s="23"/>
      <c r="J22" s="23"/>
      <c r="K22" s="24"/>
    </row>
    <row r="23" spans="1:11" x14ac:dyDescent="0.25">
      <c r="A23" s="22"/>
      <c r="B23" s="25" t="s">
        <v>12</v>
      </c>
      <c r="C23" s="50">
        <f>M*(im*(1+im/12)^(12*nM))/((1+im/12)^(12*nM)-1)</f>
        <v>1339.4363529578745</v>
      </c>
      <c r="D23" s="50"/>
      <c r="E23" s="23"/>
      <c r="F23" s="23"/>
      <c r="G23" s="23"/>
      <c r="H23" s="23"/>
      <c r="I23" s="23"/>
      <c r="J23" s="23"/>
      <c r="K23" s="24"/>
    </row>
    <row r="24" spans="1:11" x14ac:dyDescent="0.25">
      <c r="A24" s="22"/>
      <c r="B24" s="29" t="s">
        <v>13</v>
      </c>
      <c r="C24" s="51">
        <f>im*(1-rt)</f>
        <v>0.03</v>
      </c>
      <c r="D24" s="51"/>
      <c r="E24" s="23"/>
      <c r="F24" s="23"/>
      <c r="G24" s="23"/>
      <c r="H24" s="23"/>
      <c r="I24" s="23"/>
      <c r="J24" s="23"/>
      <c r="K24" s="24"/>
    </row>
    <row r="25" spans="1:11" x14ac:dyDescent="0.25">
      <c r="A25" s="31" t="s">
        <v>14</v>
      </c>
      <c r="B25" s="23"/>
      <c r="C25" s="23"/>
      <c r="D25" s="23"/>
      <c r="E25" s="23"/>
      <c r="F25" s="23"/>
      <c r="G25" s="23"/>
      <c r="H25" s="23"/>
      <c r="I25" s="23"/>
      <c r="J25" s="23"/>
      <c r="K25" s="24"/>
    </row>
    <row r="26" spans="1:11" x14ac:dyDescent="0.25">
      <c r="A26" s="22"/>
      <c r="B26" s="25" t="s">
        <v>15</v>
      </c>
      <c r="C26" s="49">
        <v>2.5000000000000001E-2</v>
      </c>
      <c r="D26" s="49"/>
      <c r="E26" s="23"/>
      <c r="F26" s="23"/>
      <c r="G26" s="23"/>
      <c r="H26" s="23"/>
      <c r="I26" s="23"/>
      <c r="J26" s="23"/>
      <c r="K26" s="24"/>
    </row>
    <row r="27" spans="1:11" x14ac:dyDescent="0.25">
      <c r="A27" s="22"/>
      <c r="B27" s="25" t="s">
        <v>16</v>
      </c>
      <c r="C27" s="49">
        <v>0.25</v>
      </c>
      <c r="D27" s="49"/>
      <c r="E27" s="23"/>
      <c r="F27" s="23"/>
      <c r="G27" s="23"/>
      <c r="H27" s="23"/>
      <c r="I27" s="23"/>
      <c r="J27" s="23"/>
      <c r="K27" s="24"/>
    </row>
    <row r="28" spans="1:11" x14ac:dyDescent="0.25">
      <c r="A28" s="22"/>
      <c r="B28" s="25" t="s">
        <v>17</v>
      </c>
      <c r="C28" s="49">
        <v>0</v>
      </c>
      <c r="D28" s="49"/>
      <c r="E28" s="23"/>
      <c r="F28" s="23"/>
      <c r="G28" s="23"/>
      <c r="H28" s="23"/>
      <c r="I28" s="23"/>
      <c r="J28" s="23"/>
      <c r="K28" s="24"/>
    </row>
    <row r="29" spans="1:11" x14ac:dyDescent="0.25">
      <c r="A29" s="22"/>
      <c r="B29" s="25" t="s">
        <v>18</v>
      </c>
      <c r="C29" s="49">
        <v>0.04</v>
      </c>
      <c r="D29" s="49"/>
      <c r="E29" s="23"/>
      <c r="F29" s="23"/>
      <c r="G29" s="23"/>
      <c r="H29" s="23"/>
      <c r="I29" s="23"/>
      <c r="J29" s="23"/>
      <c r="K29" s="24"/>
    </row>
    <row r="30" spans="1:11" x14ac:dyDescent="0.25">
      <c r="A30" s="22"/>
      <c r="B30" s="33"/>
      <c r="C30" s="33"/>
      <c r="D30" s="33"/>
      <c r="E30" s="23"/>
      <c r="F30" s="23"/>
      <c r="G30" s="23"/>
      <c r="H30" s="23"/>
      <c r="I30" s="23"/>
      <c r="J30" s="23"/>
      <c r="K30" s="24"/>
    </row>
    <row r="31" spans="1:11" x14ac:dyDescent="0.25">
      <c r="A31" s="22"/>
      <c r="B31" s="29" t="s">
        <v>21</v>
      </c>
      <c r="C31" s="58">
        <f>IF(C10=TRUE,0,rd)</f>
        <v>0</v>
      </c>
      <c r="D31" s="58"/>
      <c r="E31" s="47" t="s">
        <v>41</v>
      </c>
      <c r="F31" s="47"/>
      <c r="G31" s="47"/>
      <c r="H31" s="47"/>
      <c r="I31" s="47"/>
      <c r="J31" s="47"/>
      <c r="K31" s="48"/>
    </row>
    <row r="32" spans="1:11" ht="15.75" thickBot="1" x14ac:dyDescent="0.3">
      <c r="A32" s="26"/>
      <c r="B32" s="30" t="s">
        <v>22</v>
      </c>
      <c r="C32" s="41">
        <f>IF(C10=TRUE,50,nl)</f>
        <v>25</v>
      </c>
      <c r="D32" s="41"/>
      <c r="E32" s="27"/>
      <c r="F32" s="27"/>
      <c r="G32" s="27"/>
      <c r="H32" s="27"/>
      <c r="I32" s="27"/>
      <c r="J32" s="27"/>
      <c r="K32" s="28"/>
    </row>
  </sheetData>
  <sheetProtection password="D2D0" sheet="1" objects="1" scenarios="1" selectLockedCells="1"/>
  <mergeCells count="26">
    <mergeCell ref="C13:D13"/>
    <mergeCell ref="C19:D19"/>
    <mergeCell ref="C20:D20"/>
    <mergeCell ref="C21:D21"/>
    <mergeCell ref="C31:D31"/>
    <mergeCell ref="C29:D29"/>
    <mergeCell ref="C26:D26"/>
    <mergeCell ref="E17:K17"/>
    <mergeCell ref="E31:K31"/>
    <mergeCell ref="C14:D14"/>
    <mergeCell ref="C32:D32"/>
    <mergeCell ref="C7:D7"/>
    <mergeCell ref="A1:K1"/>
    <mergeCell ref="A2:K2"/>
    <mergeCell ref="A3:K3"/>
    <mergeCell ref="C22:D22"/>
    <mergeCell ref="C23:D23"/>
    <mergeCell ref="C24:D24"/>
    <mergeCell ref="C27:D27"/>
    <mergeCell ref="C28:D28"/>
    <mergeCell ref="C15:D15"/>
    <mergeCell ref="C18:D18"/>
    <mergeCell ref="C6:D6"/>
    <mergeCell ref="C8:D8"/>
    <mergeCell ref="C9:D9"/>
    <mergeCell ref="C10:D10"/>
  </mergeCells>
  <dataValidations count="2">
    <dataValidation type="whole" operator="lessThan" allowBlank="1" showErrorMessage="1" error="Maximum mertgage term allowed is 30 years." prompt="Maximum mortgage term allowed is 30 years." sqref="C21:D21">
      <formula1>31</formula1>
    </dataValidation>
    <dataValidation type="whole" operator="lessThan" allowBlank="1" showErrorMessage="1" error="Maximum time limit allowed is 30 years." prompt="Maximum time limit allowed is 30 years." sqref="C12">
      <formula1>31</formula1>
    </dataValidation>
  </dataValidations>
  <pageMargins left="1" right="1" top="1" bottom="1"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9525</xdr:colOff>
                    <xdr:row>9</xdr:row>
                    <xdr:rowOff>19050</xdr:rowOff>
                  </from>
                  <to>
                    <xdr:col>3</xdr:col>
                    <xdr:colOff>295275</xdr:colOff>
                    <xdr:row>9</xdr:row>
                    <xdr:rowOff>161925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28575</xdr:colOff>
                    <xdr:row>12</xdr:row>
                    <xdr:rowOff>38100</xdr:rowOff>
                  </from>
                  <to>
                    <xdr:col>3</xdr:col>
                    <xdr:colOff>266700</xdr:colOff>
                    <xdr:row>12</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election activeCell="A27" sqref="A27"/>
    </sheetView>
  </sheetViews>
  <sheetFormatPr defaultRowHeight="15" x14ac:dyDescent="0.25"/>
  <cols>
    <col min="1" max="1" width="3.85546875" style="21" customWidth="1"/>
    <col min="2" max="2" width="9.140625" style="21" customWidth="1"/>
    <col min="3" max="3" width="100.42578125" style="21" customWidth="1"/>
    <col min="4" max="16384" width="9.140625" style="21"/>
  </cols>
  <sheetData>
    <row r="1" spans="1:3" x14ac:dyDescent="0.25">
      <c r="A1" s="40" t="s">
        <v>43</v>
      </c>
    </row>
    <row r="2" spans="1:3" ht="15" customHeight="1" x14ac:dyDescent="0.25">
      <c r="B2" s="61" t="s">
        <v>55</v>
      </c>
      <c r="C2" s="61"/>
    </row>
    <row r="3" spans="1:3" x14ac:dyDescent="0.25">
      <c r="B3" s="61"/>
      <c r="C3" s="61"/>
    </row>
    <row r="4" spans="1:3" ht="15" customHeight="1" x14ac:dyDescent="0.25">
      <c r="B4" s="61" t="s">
        <v>45</v>
      </c>
      <c r="C4" s="61"/>
    </row>
    <row r="5" spans="1:3" x14ac:dyDescent="0.25">
      <c r="B5" s="61"/>
      <c r="C5" s="61"/>
    </row>
    <row r="6" spans="1:3" ht="15" customHeight="1" x14ac:dyDescent="0.25">
      <c r="B6" s="61" t="s">
        <v>44</v>
      </c>
      <c r="C6" s="61"/>
    </row>
    <row r="7" spans="1:3" x14ac:dyDescent="0.25">
      <c r="B7" s="61"/>
      <c r="C7" s="61"/>
    </row>
    <row r="9" spans="1:3" x14ac:dyDescent="0.25">
      <c r="A9" s="40" t="s">
        <v>46</v>
      </c>
    </row>
    <row r="10" spans="1:3" x14ac:dyDescent="0.25">
      <c r="B10" s="38" t="s">
        <v>47</v>
      </c>
    </row>
    <row r="11" spans="1:3" x14ac:dyDescent="0.25">
      <c r="C11" s="59" t="s">
        <v>48</v>
      </c>
    </row>
    <row r="12" spans="1:3" x14ac:dyDescent="0.25">
      <c r="C12" s="60"/>
    </row>
    <row r="13" spans="1:3" x14ac:dyDescent="0.25">
      <c r="C13" s="59" t="s">
        <v>49</v>
      </c>
    </row>
    <row r="14" spans="1:3" x14ac:dyDescent="0.25">
      <c r="C14" s="60"/>
    </row>
    <row r="15" spans="1:3" x14ac:dyDescent="0.25">
      <c r="B15" s="38" t="s">
        <v>50</v>
      </c>
    </row>
    <row r="16" spans="1:3" x14ac:dyDescent="0.25">
      <c r="C16" s="59" t="s">
        <v>51</v>
      </c>
    </row>
    <row r="17" spans="1:14" x14ac:dyDescent="0.25">
      <c r="C17" s="60"/>
    </row>
    <row r="18" spans="1:14" x14ac:dyDescent="0.25">
      <c r="C18" s="59" t="s">
        <v>52</v>
      </c>
    </row>
    <row r="19" spans="1:14" x14ac:dyDescent="0.25">
      <c r="C19" s="60"/>
    </row>
    <row r="21" spans="1:14" ht="15.75" x14ac:dyDescent="0.25">
      <c r="A21" s="40" t="s">
        <v>53</v>
      </c>
      <c r="N21" s="39"/>
    </row>
    <row r="22" spans="1:14" ht="15.75" x14ac:dyDescent="0.25">
      <c r="B22" s="61" t="s">
        <v>54</v>
      </c>
      <c r="C22" s="60"/>
      <c r="N22" s="39"/>
    </row>
    <row r="23" spans="1:14" ht="15.75" x14ac:dyDescent="0.25">
      <c r="B23" s="60"/>
      <c r="C23" s="60"/>
      <c r="N23" s="39"/>
    </row>
    <row r="24" spans="1:14" ht="15" customHeight="1" x14ac:dyDescent="0.25">
      <c r="B24" s="61" t="s">
        <v>56</v>
      </c>
      <c r="C24" s="61"/>
    </row>
    <row r="25" spans="1:14" x14ac:dyDescent="0.25">
      <c r="B25" s="61"/>
      <c r="C25" s="61"/>
    </row>
    <row r="26" spans="1:14" x14ac:dyDescent="0.25">
      <c r="B26" s="61"/>
      <c r="C26" s="61"/>
    </row>
  </sheetData>
  <sheetProtection password="D2D0" sheet="1" objects="1" scenarios="1"/>
  <mergeCells count="9">
    <mergeCell ref="B24:C26"/>
    <mergeCell ref="B2:C3"/>
    <mergeCell ref="B4:C5"/>
    <mergeCell ref="B6:C7"/>
    <mergeCell ref="C11:C12"/>
    <mergeCell ref="C13:C14"/>
    <mergeCell ref="C16:C17"/>
    <mergeCell ref="C18:C19"/>
    <mergeCell ref="B22:C23"/>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55"/>
  <sheetViews>
    <sheetView workbookViewId="0"/>
  </sheetViews>
  <sheetFormatPr defaultRowHeight="15" x14ac:dyDescent="0.25"/>
  <cols>
    <col min="1" max="1" width="3" style="32" bestFit="1" customWidth="1"/>
    <col min="2" max="2" width="4.85546875" style="2" bestFit="1" customWidth="1"/>
    <col min="3" max="3" width="1.7109375" style="2" customWidth="1"/>
    <col min="4" max="6" width="9.140625" style="4"/>
    <col min="7" max="7" width="1.7109375" customWidth="1"/>
    <col min="8" max="8" width="9.140625" style="4"/>
    <col min="9" max="9" width="1.7109375" customWidth="1"/>
    <col min="10" max="10" width="12.28515625" style="4" customWidth="1"/>
    <col min="11" max="11" width="1.7109375" style="4" customWidth="1"/>
    <col min="12" max="12" width="9.140625" style="4"/>
    <col min="13" max="13" width="1.7109375" style="4" customWidth="1"/>
    <col min="14" max="14" width="9.140625" style="4"/>
    <col min="15" max="15" width="1.7109375" customWidth="1"/>
    <col min="16" max="16" width="9.140625" style="4"/>
    <col min="17" max="17" width="9" style="4" bestFit="1" customWidth="1"/>
    <col min="18" max="18" width="1.7109375" customWidth="1"/>
    <col min="19" max="19" width="9.140625" style="4"/>
    <col min="20" max="20" width="1.7109375" customWidth="1"/>
    <col min="21" max="21" width="9.140625" style="4"/>
    <col min="22" max="22" width="1.7109375" customWidth="1"/>
    <col min="24" max="24" width="9" style="4" bestFit="1" customWidth="1"/>
  </cols>
  <sheetData>
    <row r="2" spans="1:24" ht="15" customHeight="1" x14ac:dyDescent="0.25">
      <c r="H2" s="63" t="s">
        <v>28</v>
      </c>
      <c r="L2" s="63" t="s">
        <v>30</v>
      </c>
      <c r="M2" s="9"/>
      <c r="P2" s="10"/>
    </row>
    <row r="3" spans="1:24" x14ac:dyDescent="0.25">
      <c r="D3" s="64" t="s">
        <v>6</v>
      </c>
      <c r="E3" s="64"/>
      <c r="F3" s="64"/>
      <c r="H3" s="63"/>
      <c r="J3" s="63" t="s">
        <v>29</v>
      </c>
      <c r="K3" s="9"/>
      <c r="L3" s="63"/>
      <c r="M3" s="9"/>
      <c r="N3" s="63" t="s">
        <v>31</v>
      </c>
      <c r="P3" s="62" t="s">
        <v>33</v>
      </c>
      <c r="Q3" s="62"/>
      <c r="S3" s="63" t="s">
        <v>34</v>
      </c>
      <c r="U3" s="63" t="s">
        <v>35</v>
      </c>
      <c r="W3" s="62" t="s">
        <v>36</v>
      </c>
      <c r="X3" s="62"/>
    </row>
    <row r="4" spans="1:24" ht="15" customHeight="1" x14ac:dyDescent="0.25">
      <c r="B4" s="7" t="s">
        <v>23</v>
      </c>
      <c r="D4" s="8" t="s">
        <v>24</v>
      </c>
      <c r="E4" s="8" t="s">
        <v>25</v>
      </c>
      <c r="F4" s="8" t="s">
        <v>26</v>
      </c>
      <c r="H4" s="63"/>
      <c r="J4" s="63"/>
      <c r="K4" s="9"/>
      <c r="L4" s="63"/>
      <c r="M4" s="9"/>
      <c r="N4" s="63"/>
      <c r="P4" s="11" t="s">
        <v>32</v>
      </c>
      <c r="Q4" s="12" t="s">
        <v>42</v>
      </c>
      <c r="S4" s="63"/>
      <c r="U4" s="63"/>
      <c r="W4" s="7" t="s">
        <v>32</v>
      </c>
      <c r="X4" s="12" t="s">
        <v>42</v>
      </c>
    </row>
    <row r="5" spans="1:24" ht="15" customHeight="1" x14ac:dyDescent="0.25">
      <c r="B5" s="13">
        <v>0</v>
      </c>
      <c r="D5" s="16" t="s">
        <v>27</v>
      </c>
      <c r="E5" s="16" t="s">
        <v>27</v>
      </c>
      <c r="F5" s="19">
        <f>M</f>
        <v>23380</v>
      </c>
      <c r="H5" s="16" t="s">
        <v>27</v>
      </c>
      <c r="J5" s="16" t="s">
        <v>27</v>
      </c>
      <c r="K5" s="5"/>
      <c r="L5" s="16" t="s">
        <v>27</v>
      </c>
      <c r="M5" s="5"/>
      <c r="N5" s="16" t="s">
        <v>27</v>
      </c>
      <c r="P5" s="16" t="s">
        <v>27</v>
      </c>
      <c r="Q5" s="16" t="s">
        <v>27</v>
      </c>
      <c r="S5" s="19">
        <f>-DP</f>
        <v>0</v>
      </c>
      <c r="U5" s="19">
        <f t="shared" ref="U5" si="0">IF(B5&gt;C_nl,0,IF(if=ime,H6*(C_nl-B5),IF(Control=FALSE,(H6*(1+if)/(ime-if)*(1-((1+if)/(1+ime))^(C_nl-B5))),(H6*(1+if)/(ime-if)*(1-((1+if)/(1+ime))^(ns))))))</f>
        <v>27239.032508181725</v>
      </c>
      <c r="W5" s="20" t="s">
        <v>27</v>
      </c>
      <c r="X5" s="16" t="s">
        <v>27</v>
      </c>
    </row>
    <row r="6" spans="1:24" x14ac:dyDescent="0.25">
      <c r="B6" s="14">
        <v>1</v>
      </c>
      <c r="D6" s="17">
        <f t="shared" ref="D6:D37" si="1">IF(AND(Replacement=TRUE,B6&gt;C_nl),"",IF(B6&gt;nM,0,A))</f>
        <v>1339.4363529578745</v>
      </c>
      <c r="E6" s="17">
        <f t="shared" ref="E6:E37" si="2">IF(AND(Replacement=TRUE,B6&gt;C_nl),"",F5*im)</f>
        <v>935.2</v>
      </c>
      <c r="F6" s="17">
        <f t="shared" ref="F6:F37" si="3">IF(AND(Replacement=TRUE,B6&gt;C_nl),"",F5-(D6-E6))</f>
        <v>22975.763647042124</v>
      </c>
      <c r="H6" s="17">
        <f>S</f>
        <v>1160</v>
      </c>
      <c r="J6" s="17">
        <f>MC</f>
        <v>0</v>
      </c>
      <c r="L6" s="17">
        <f t="shared" ref="L6:L37" si="4">IF(AND(Replacement=TRUE,B6&gt;C_nl),"",E6*rt)</f>
        <v>233.8</v>
      </c>
      <c r="N6" s="17">
        <f t="shared" ref="N6:N37" si="5">IF(AND(Replacement=TRUE,B6&gt;C_nl),"",CC*(1+ii)^B6*rpt)</f>
        <v>0</v>
      </c>
      <c r="P6" s="17">
        <f t="shared" ref="P6:P37" si="6">IF(AND(Replacement=TRUE,B6&gt;C_nl),"",H6+L6-D6-J6-N6*(1-rt))</f>
        <v>54.363647042125422</v>
      </c>
      <c r="Q6" s="17">
        <f t="shared" ref="Q6:Q37" si="7">IF(AND(Replacement=TRUE,B6&gt;C_nl),"",P6*(1+ii)^-B6)</f>
        <v>53.037704431341879</v>
      </c>
      <c r="S6" s="17">
        <f t="shared" ref="S6:S37" si="8">IF(AND(Replacement=TRUE,B6&gt;C_nl),"",S5*(1+is*(1-rt))+P6)</f>
        <v>54.363647042125422</v>
      </c>
      <c r="U6" s="17">
        <f t="shared" ref="U6:U37" si="9">IF(AND(Replacement=TRUE,B6&gt;C_nl),"",IF(B6&gt;C_nl,0,IF(if=ime,H7*(C_nl-B6),IF(Control=FALSE,(H7*(1+if)/(ime-if)*(1-((1+if)/(1+ime))^(C_nl-B6))),(H7*(1+if)/(ime-if)*(1-((1+if)/(1+ime))^(ns)))))))</f>
        <v>26867.203483427144</v>
      </c>
      <c r="W6" s="17">
        <f t="shared" ref="W6:W37" si="10">IF(AND(Replacement=TRUE,B6&gt;C_nl),"",U6-F6+S6)</f>
        <v>3945.8034834271448</v>
      </c>
      <c r="X6" s="17">
        <f t="shared" ref="X6:X37" si="11">IF(AND(Replacement=TRUE,B6&gt;C_nl),"",W6*(1+ii)^-B6)</f>
        <v>3849.5643740752635</v>
      </c>
    </row>
    <row r="7" spans="1:24" x14ac:dyDescent="0.25">
      <c r="A7" s="32">
        <v>2</v>
      </c>
      <c r="B7" s="14">
        <v>2</v>
      </c>
      <c r="D7" s="17">
        <f t="shared" si="1"/>
        <v>1339.4363529578745</v>
      </c>
      <c r="E7" s="17">
        <f t="shared" si="2"/>
        <v>919.03054588168493</v>
      </c>
      <c r="F7" s="17">
        <f t="shared" si="3"/>
        <v>22555.357839965935</v>
      </c>
      <c r="H7" s="17">
        <f t="shared" ref="H7:H38" si="12">IF(AND(Replacement=TRUE,B7&gt;C_nl),"",IF(B7&gt;C_nl,0,S*(1-(B7-1)*C_rd/(nl-1))*(1+if)^(B7-1)))</f>
        <v>1189</v>
      </c>
      <c r="J7" s="17">
        <f t="shared" ref="J7:J38" si="13">IF(AND(Replacement=TRUE,B7&gt;C_nl),"",IF(B7&gt;C_nl,0,MC*(1+ii)^(B7-1)))</f>
        <v>0</v>
      </c>
      <c r="L7" s="17">
        <f t="shared" si="4"/>
        <v>229.75763647042123</v>
      </c>
      <c r="N7" s="17">
        <f t="shared" si="5"/>
        <v>0</v>
      </c>
      <c r="P7" s="17">
        <f t="shared" si="6"/>
        <v>79.321283512546643</v>
      </c>
      <c r="Q7" s="17">
        <f t="shared" si="7"/>
        <v>75.499139571727923</v>
      </c>
      <c r="S7" s="17">
        <f t="shared" si="8"/>
        <v>135.31583996593582</v>
      </c>
      <c r="U7" s="17">
        <f t="shared" si="9"/>
        <v>26454.494587929938</v>
      </c>
      <c r="W7" s="17">
        <f t="shared" si="10"/>
        <v>4034.452587929939</v>
      </c>
      <c r="X7" s="17">
        <f t="shared" si="11"/>
        <v>3840.0500539487821</v>
      </c>
    </row>
    <row r="8" spans="1:24" x14ac:dyDescent="0.25">
      <c r="B8" s="14">
        <v>3</v>
      </c>
      <c r="D8" s="17">
        <f t="shared" si="1"/>
        <v>1339.4363529578745</v>
      </c>
      <c r="E8" s="17">
        <f t="shared" si="2"/>
        <v>902.21431359863743</v>
      </c>
      <c r="F8" s="17">
        <f t="shared" si="3"/>
        <v>22118.135800606698</v>
      </c>
      <c r="H8" s="17">
        <f t="shared" si="12"/>
        <v>1218.7249999999999</v>
      </c>
      <c r="J8" s="17">
        <f t="shared" si="13"/>
        <v>0</v>
      </c>
      <c r="L8" s="17">
        <f t="shared" si="4"/>
        <v>225.55357839965936</v>
      </c>
      <c r="N8" s="17">
        <f t="shared" si="5"/>
        <v>0</v>
      </c>
      <c r="P8" s="17">
        <f t="shared" si="6"/>
        <v>104.84222544178465</v>
      </c>
      <c r="Q8" s="17">
        <f t="shared" si="7"/>
        <v>97.35642878475673</v>
      </c>
      <c r="S8" s="17">
        <f t="shared" si="8"/>
        <v>244.21754060669855</v>
      </c>
      <c r="U8" s="17">
        <f t="shared" si="9"/>
        <v>25998.936300567842</v>
      </c>
      <c r="W8" s="17">
        <f t="shared" si="10"/>
        <v>4125.018040567842</v>
      </c>
      <c r="X8" s="17">
        <f t="shared" si="11"/>
        <v>3830.4893225046349</v>
      </c>
    </row>
    <row r="9" spans="1:24" x14ac:dyDescent="0.25">
      <c r="A9" s="32">
        <v>4</v>
      </c>
      <c r="B9" s="14">
        <v>4</v>
      </c>
      <c r="D9" s="17">
        <f t="shared" si="1"/>
        <v>1339.4363529578745</v>
      </c>
      <c r="E9" s="17">
        <f t="shared" si="2"/>
        <v>884.725432024268</v>
      </c>
      <c r="F9" s="17">
        <f t="shared" si="3"/>
        <v>21663.424879673094</v>
      </c>
      <c r="H9" s="17">
        <f t="shared" si="12"/>
        <v>1249.1931249999998</v>
      </c>
      <c r="J9" s="17">
        <f t="shared" si="13"/>
        <v>0</v>
      </c>
      <c r="L9" s="17">
        <f t="shared" si="4"/>
        <v>221.181358006067</v>
      </c>
      <c r="N9" s="17">
        <f t="shared" si="5"/>
        <v>0</v>
      </c>
      <c r="P9" s="17">
        <f t="shared" si="6"/>
        <v>130.93813004819231</v>
      </c>
      <c r="Q9" s="17">
        <f t="shared" si="7"/>
        <v>118.62348334603401</v>
      </c>
      <c r="S9" s="17">
        <f t="shared" si="8"/>
        <v>382.48219687309182</v>
      </c>
      <c r="U9" s="17">
        <f t="shared" si="9"/>
        <v>25498.481436459846</v>
      </c>
      <c r="W9" s="17">
        <f t="shared" si="10"/>
        <v>4217.5387536598446</v>
      </c>
      <c r="X9" s="17">
        <f t="shared" si="11"/>
        <v>3820.8819533460914</v>
      </c>
    </row>
    <row r="10" spans="1:24" x14ac:dyDescent="0.25">
      <c r="B10" s="14">
        <v>5</v>
      </c>
      <c r="D10" s="17">
        <f t="shared" si="1"/>
        <v>1339.4363529578745</v>
      </c>
      <c r="E10" s="17">
        <f t="shared" si="2"/>
        <v>866.53699518692372</v>
      </c>
      <c r="F10" s="17">
        <f t="shared" si="3"/>
        <v>21190.525521902142</v>
      </c>
      <c r="H10" s="17">
        <f t="shared" si="12"/>
        <v>1280.4229531249998</v>
      </c>
      <c r="J10" s="17">
        <f t="shared" si="13"/>
        <v>0</v>
      </c>
      <c r="L10" s="17">
        <f t="shared" si="4"/>
        <v>216.63424879673093</v>
      </c>
      <c r="N10" s="17">
        <f t="shared" si="5"/>
        <v>0</v>
      </c>
      <c r="P10" s="17">
        <f t="shared" si="6"/>
        <v>157.62084896385613</v>
      </c>
      <c r="Q10" s="17">
        <f t="shared" si="7"/>
        <v>139.31386317335637</v>
      </c>
      <c r="S10" s="17">
        <f t="shared" si="8"/>
        <v>551.5775117431408</v>
      </c>
      <c r="U10" s="17">
        <f t="shared" si="9"/>
        <v>24951.002352600492</v>
      </c>
      <c r="W10" s="17">
        <f t="shared" si="10"/>
        <v>4312.05434244149</v>
      </c>
      <c r="X10" s="17">
        <f t="shared" si="11"/>
        <v>3811.2277189721481</v>
      </c>
    </row>
    <row r="11" spans="1:24" x14ac:dyDescent="0.25">
      <c r="A11" s="32">
        <v>6</v>
      </c>
      <c r="B11" s="14">
        <v>6</v>
      </c>
      <c r="D11" s="17">
        <f t="shared" si="1"/>
        <v>1339.4363529578745</v>
      </c>
      <c r="E11" s="17">
        <f t="shared" si="2"/>
        <v>847.62102087608571</v>
      </c>
      <c r="F11" s="17">
        <f t="shared" si="3"/>
        <v>20698.710189820355</v>
      </c>
      <c r="H11" s="17">
        <f t="shared" si="12"/>
        <v>1312.4335269531246</v>
      </c>
      <c r="J11" s="17">
        <f t="shared" si="13"/>
        <v>0</v>
      </c>
      <c r="L11" s="17">
        <f t="shared" si="4"/>
        <v>211.90525521902143</v>
      </c>
      <c r="N11" s="17">
        <f t="shared" si="5"/>
        <v>0</v>
      </c>
      <c r="P11" s="17">
        <f t="shared" si="6"/>
        <v>184.90242921427148</v>
      </c>
      <c r="Q11" s="17">
        <f t="shared" si="7"/>
        <v>159.44078521995033</v>
      </c>
      <c r="S11" s="17">
        <f t="shared" si="8"/>
        <v>753.02726630970653</v>
      </c>
      <c r="U11" s="17">
        <f t="shared" si="9"/>
        <v>24354.288058051527</v>
      </c>
      <c r="W11" s="17">
        <f t="shared" si="10"/>
        <v>4408.6051345408787</v>
      </c>
      <c r="X11" s="17">
        <f t="shared" si="11"/>
        <v>3801.5263907719882</v>
      </c>
    </row>
    <row r="12" spans="1:24" x14ac:dyDescent="0.25">
      <c r="B12" s="14">
        <v>7</v>
      </c>
      <c r="D12" s="17">
        <f t="shared" si="1"/>
        <v>1339.4363529578745</v>
      </c>
      <c r="E12" s="17">
        <f t="shared" si="2"/>
        <v>827.94840759281419</v>
      </c>
      <c r="F12" s="17">
        <f t="shared" si="3"/>
        <v>20187.222244455294</v>
      </c>
      <c r="H12" s="17">
        <f t="shared" si="12"/>
        <v>1345.2443651269525</v>
      </c>
      <c r="J12" s="17">
        <f t="shared" si="13"/>
        <v>0</v>
      </c>
      <c r="L12" s="17">
        <f t="shared" si="4"/>
        <v>206.98710189820355</v>
      </c>
      <c r="N12" s="17">
        <f t="shared" si="5"/>
        <v>0</v>
      </c>
      <c r="P12" s="17">
        <f t="shared" si="6"/>
        <v>212.79511406728147</v>
      </c>
      <c r="Q12" s="17">
        <f t="shared" si="7"/>
        <v>179.01713166041452</v>
      </c>
      <c r="S12" s="17">
        <f t="shared" si="8"/>
        <v>988.41319836627918</v>
      </c>
      <c r="U12" s="17">
        <f t="shared" si="9"/>
        <v>23706.041225537912</v>
      </c>
      <c r="W12" s="17">
        <f t="shared" si="10"/>
        <v>4507.232179448898</v>
      </c>
      <c r="X12" s="17">
        <f t="shared" si="11"/>
        <v>3791.7777390196288</v>
      </c>
    </row>
    <row r="13" spans="1:24" x14ac:dyDescent="0.25">
      <c r="A13" s="32">
        <v>8</v>
      </c>
      <c r="B13" s="14">
        <v>8</v>
      </c>
      <c r="D13" s="17">
        <f t="shared" si="1"/>
        <v>1339.4363529578745</v>
      </c>
      <c r="E13" s="17">
        <f t="shared" si="2"/>
        <v>807.48888977821173</v>
      </c>
      <c r="F13" s="17">
        <f t="shared" si="3"/>
        <v>19655.274781275632</v>
      </c>
      <c r="H13" s="17">
        <f t="shared" si="12"/>
        <v>1378.8754742551264</v>
      </c>
      <c r="J13" s="17">
        <f t="shared" si="13"/>
        <v>0</v>
      </c>
      <c r="L13" s="17">
        <f t="shared" si="4"/>
        <v>201.87222244455293</v>
      </c>
      <c r="N13" s="17">
        <f t="shared" si="5"/>
        <v>0</v>
      </c>
      <c r="P13" s="17">
        <f t="shared" si="6"/>
        <v>241.31134374180488</v>
      </c>
      <c r="Q13" s="17">
        <f t="shared" si="7"/>
        <v>198.05545787438561</v>
      </c>
      <c r="S13" s="17">
        <f t="shared" si="8"/>
        <v>1259.3769380590725</v>
      </c>
      <c r="U13" s="17">
        <f t="shared" si="9"/>
        <v>23003.875101192541</v>
      </c>
      <c r="W13" s="17">
        <f t="shared" si="10"/>
        <v>4607.9772579759829</v>
      </c>
      <c r="X13" s="17">
        <f t="shared" si="11"/>
        <v>3781.9815328685017</v>
      </c>
    </row>
    <row r="14" spans="1:24" x14ac:dyDescent="0.25">
      <c r="B14" s="14">
        <v>9</v>
      </c>
      <c r="D14" s="17">
        <f t="shared" si="1"/>
        <v>1339.4363529578745</v>
      </c>
      <c r="E14" s="17">
        <f t="shared" si="2"/>
        <v>786.21099125102523</v>
      </c>
      <c r="F14" s="17">
        <f t="shared" si="3"/>
        <v>19102.049419568782</v>
      </c>
      <c r="H14" s="17">
        <f t="shared" si="12"/>
        <v>1413.3473611115046</v>
      </c>
      <c r="J14" s="17">
        <f t="shared" si="13"/>
        <v>0</v>
      </c>
      <c r="L14" s="17">
        <f t="shared" si="4"/>
        <v>196.55274781275631</v>
      </c>
      <c r="N14" s="17">
        <f t="shared" si="5"/>
        <v>0</v>
      </c>
      <c r="P14" s="17">
        <f t="shared" si="6"/>
        <v>270.46375596638632</v>
      </c>
      <c r="Q14" s="17">
        <f t="shared" si="7"/>
        <v>216.56800023282003</v>
      </c>
      <c r="S14" s="17">
        <f t="shared" si="8"/>
        <v>1567.6220021672309</v>
      </c>
      <c r="U14" s="17">
        <f t="shared" si="9"/>
        <v>22245.310309088982</v>
      </c>
      <c r="W14" s="17">
        <f t="shared" si="10"/>
        <v>4710.8828916874299</v>
      </c>
      <c r="X14" s="17">
        <f t="shared" si="11"/>
        <v>3772.1375403458742</v>
      </c>
    </row>
    <row r="15" spans="1:24" x14ac:dyDescent="0.25">
      <c r="A15" s="32">
        <v>10</v>
      </c>
      <c r="B15" s="14">
        <v>10</v>
      </c>
      <c r="D15" s="17">
        <f t="shared" si="1"/>
        <v>1339.4363529578745</v>
      </c>
      <c r="E15" s="17">
        <f t="shared" si="2"/>
        <v>764.08197678275133</v>
      </c>
      <c r="F15" s="17">
        <f t="shared" si="3"/>
        <v>18526.695043393658</v>
      </c>
      <c r="H15" s="17">
        <f t="shared" si="12"/>
        <v>1448.6810451392919</v>
      </c>
      <c r="J15" s="17">
        <f t="shared" si="13"/>
        <v>0</v>
      </c>
      <c r="L15" s="17">
        <f t="shared" si="4"/>
        <v>191.02049419568783</v>
      </c>
      <c r="N15" s="17">
        <f t="shared" si="5"/>
        <v>0</v>
      </c>
      <c r="P15" s="17">
        <f t="shared" si="6"/>
        <v>300.26518637710524</v>
      </c>
      <c r="Q15" s="17">
        <f t="shared" si="7"/>
        <v>234.56668369167218</v>
      </c>
      <c r="S15" s="17">
        <f t="shared" si="8"/>
        <v>1914.9158486093531</v>
      </c>
      <c r="U15" s="17">
        <f t="shared" si="9"/>
        <v>21427.771547093875</v>
      </c>
      <c r="W15" s="17">
        <f t="shared" si="10"/>
        <v>4815.9923523095695</v>
      </c>
      <c r="X15" s="17">
        <f t="shared" si="11"/>
        <v>3762.2455283475606</v>
      </c>
    </row>
    <row r="16" spans="1:24" x14ac:dyDescent="0.25">
      <c r="B16" s="14">
        <v>11</v>
      </c>
      <c r="D16" s="17">
        <f t="shared" si="1"/>
        <v>1339.4363529578745</v>
      </c>
      <c r="E16" s="17">
        <f t="shared" si="2"/>
        <v>741.06780173574634</v>
      </c>
      <c r="F16" s="17">
        <f t="shared" si="3"/>
        <v>17928.326492171531</v>
      </c>
      <c r="H16" s="17">
        <f t="shared" si="12"/>
        <v>1484.8980712677742</v>
      </c>
      <c r="J16" s="17">
        <f t="shared" si="13"/>
        <v>0</v>
      </c>
      <c r="L16" s="17">
        <f t="shared" si="4"/>
        <v>185.26695043393659</v>
      </c>
      <c r="N16" s="17">
        <f t="shared" si="5"/>
        <v>0</v>
      </c>
      <c r="P16" s="17">
        <f t="shared" si="6"/>
        <v>330.72866874383635</v>
      </c>
      <c r="Q16" s="17">
        <f t="shared" si="7"/>
        <v>252.06312919762186</v>
      </c>
      <c r="S16" s="17">
        <f t="shared" si="8"/>
        <v>2303.0919928114699</v>
      </c>
      <c r="U16" s="17">
        <f t="shared" si="9"/>
        <v>20548.584170457201</v>
      </c>
      <c r="W16" s="17">
        <f t="shared" si="10"/>
        <v>4923.3496710971403</v>
      </c>
      <c r="X16" s="17">
        <f t="shared" si="11"/>
        <v>3752.3052626321664</v>
      </c>
    </row>
    <row r="17" spans="1:24" x14ac:dyDescent="0.25">
      <c r="A17" s="32">
        <v>12</v>
      </c>
      <c r="B17" s="14">
        <v>12</v>
      </c>
      <c r="D17" s="17">
        <f t="shared" si="1"/>
        <v>1339.4363529578745</v>
      </c>
      <c r="E17" s="17">
        <f t="shared" si="2"/>
        <v>717.1330596868612</v>
      </c>
      <c r="F17" s="17">
        <f t="shared" si="3"/>
        <v>17306.023198900519</v>
      </c>
      <c r="H17" s="17">
        <f t="shared" si="12"/>
        <v>1522.0205230494685</v>
      </c>
      <c r="J17" s="17">
        <f t="shared" si="13"/>
        <v>0</v>
      </c>
      <c r="L17" s="17">
        <f t="shared" si="4"/>
        <v>179.2832649217153</v>
      </c>
      <c r="N17" s="17">
        <f t="shared" si="5"/>
        <v>0</v>
      </c>
      <c r="P17" s="17">
        <f t="shared" si="6"/>
        <v>361.8674350133092</v>
      </c>
      <c r="Q17" s="17">
        <f t="shared" si="7"/>
        <v>269.06866091039677</v>
      </c>
      <c r="S17" s="17">
        <f t="shared" si="8"/>
        <v>2734.0521876091234</v>
      </c>
      <c r="U17" s="17">
        <f t="shared" si="9"/>
        <v>19604.970659445164</v>
      </c>
      <c r="W17" s="17">
        <f t="shared" si="10"/>
        <v>5032.9996481537682</v>
      </c>
      <c r="X17" s="17">
        <f t="shared" si="11"/>
        <v>3742.3165078157012</v>
      </c>
    </row>
    <row r="18" spans="1:24" x14ac:dyDescent="0.25">
      <c r="B18" s="14">
        <v>13</v>
      </c>
      <c r="D18" s="17">
        <f t="shared" si="1"/>
        <v>1339.4363529578745</v>
      </c>
      <c r="E18" s="17">
        <f t="shared" si="2"/>
        <v>692.24092795602076</v>
      </c>
      <c r="F18" s="17">
        <f t="shared" si="3"/>
        <v>16658.827773898665</v>
      </c>
      <c r="H18" s="17">
        <f t="shared" si="12"/>
        <v>1560.0710361257052</v>
      </c>
      <c r="J18" s="17">
        <f t="shared" si="13"/>
        <v>0</v>
      </c>
      <c r="L18" s="17">
        <f t="shared" si="4"/>
        <v>173.06023198900519</v>
      </c>
      <c r="N18" s="17">
        <f t="shared" si="5"/>
        <v>0</v>
      </c>
      <c r="P18" s="17">
        <f t="shared" si="6"/>
        <v>393.6949151568358</v>
      </c>
      <c r="Q18" s="17">
        <f t="shared" si="7"/>
        <v>285.59431324612552</v>
      </c>
      <c r="S18" s="17">
        <f t="shared" si="8"/>
        <v>3209.7686683942329</v>
      </c>
      <c r="U18" s="17">
        <f t="shared" si="9"/>
        <v>18594.046967199651</v>
      </c>
      <c r="W18" s="17">
        <f t="shared" si="10"/>
        <v>5144.9878616952183</v>
      </c>
      <c r="X18" s="17">
        <f t="shared" si="11"/>
        <v>3732.2790273660066</v>
      </c>
    </row>
    <row r="19" spans="1:24" x14ac:dyDescent="0.25">
      <c r="A19" s="32">
        <v>14</v>
      </c>
      <c r="B19" s="14">
        <v>14</v>
      </c>
      <c r="D19" s="17">
        <f t="shared" si="1"/>
        <v>1339.4363529578745</v>
      </c>
      <c r="E19" s="17">
        <f t="shared" si="2"/>
        <v>666.35311095594659</v>
      </c>
      <c r="F19" s="17">
        <f t="shared" si="3"/>
        <v>15985.744531896737</v>
      </c>
      <c r="H19" s="17">
        <f t="shared" si="12"/>
        <v>1599.0728120288477</v>
      </c>
      <c r="J19" s="17">
        <f t="shared" si="13"/>
        <v>0</v>
      </c>
      <c r="L19" s="17">
        <f t="shared" si="4"/>
        <v>166.58827773898665</v>
      </c>
      <c r="N19" s="17">
        <f t="shared" si="5"/>
        <v>0</v>
      </c>
      <c r="P19" s="17">
        <f t="shared" si="6"/>
        <v>426.22473680995972</v>
      </c>
      <c r="Q19" s="17">
        <f t="shared" si="7"/>
        <v>301.65083774604005</v>
      </c>
      <c r="S19" s="17">
        <f t="shared" si="8"/>
        <v>3732.2864652560197</v>
      </c>
      <c r="U19" s="17">
        <f t="shared" si="9"/>
        <v>17512.81874388603</v>
      </c>
      <c r="W19" s="17">
        <f t="shared" si="10"/>
        <v>5259.3606772453131</v>
      </c>
      <c r="X19" s="17">
        <f t="shared" si="11"/>
        <v>3722.1925835970324</v>
      </c>
    </row>
    <row r="20" spans="1:24" x14ac:dyDescent="0.25">
      <c r="B20" s="14">
        <v>15</v>
      </c>
      <c r="D20" s="17">
        <f t="shared" si="1"/>
        <v>1339.4363529578745</v>
      </c>
      <c r="E20" s="17">
        <f t="shared" si="2"/>
        <v>639.42978127586946</v>
      </c>
      <c r="F20" s="17">
        <f t="shared" si="3"/>
        <v>15285.737960214732</v>
      </c>
      <c r="H20" s="17">
        <f t="shared" si="12"/>
        <v>1639.0496323295688</v>
      </c>
      <c r="J20" s="17">
        <f t="shared" si="13"/>
        <v>0</v>
      </c>
      <c r="L20" s="17">
        <f t="shared" si="4"/>
        <v>159.85744531896736</v>
      </c>
      <c r="N20" s="17">
        <f t="shared" si="5"/>
        <v>0</v>
      </c>
      <c r="P20" s="17">
        <f t="shared" si="6"/>
        <v>459.47072469066165</v>
      </c>
      <c r="Q20" s="17">
        <f t="shared" si="7"/>
        <v>317.24870977475007</v>
      </c>
      <c r="S20" s="17">
        <f t="shared" si="8"/>
        <v>4303.7257839043623</v>
      </c>
      <c r="U20" s="17">
        <f t="shared" si="9"/>
        <v>16358.177433064779</v>
      </c>
      <c r="W20" s="17">
        <f t="shared" si="10"/>
        <v>5376.1652567544088</v>
      </c>
      <c r="X20" s="17">
        <f t="shared" si="11"/>
        <v>3712.0569376633421</v>
      </c>
    </row>
    <row r="21" spans="1:24" x14ac:dyDescent="0.25">
      <c r="A21" s="32">
        <v>16</v>
      </c>
      <c r="B21" s="14">
        <v>16</v>
      </c>
      <c r="D21" s="17">
        <f t="shared" si="1"/>
        <v>1339.4363529578745</v>
      </c>
      <c r="E21" s="17">
        <f t="shared" si="2"/>
        <v>611.42951840858927</v>
      </c>
      <c r="F21" s="17">
        <f t="shared" si="3"/>
        <v>14557.731125665447</v>
      </c>
      <c r="H21" s="17">
        <f t="shared" si="12"/>
        <v>1680.0258731378083</v>
      </c>
      <c r="J21" s="17">
        <f t="shared" si="13"/>
        <v>0</v>
      </c>
      <c r="L21" s="17">
        <f t="shared" si="4"/>
        <v>152.85737960214732</v>
      </c>
      <c r="N21" s="17">
        <f t="shared" si="5"/>
        <v>0</v>
      </c>
      <c r="P21" s="17">
        <f t="shared" si="6"/>
        <v>493.44689978208112</v>
      </c>
      <c r="Q21" s="17">
        <f t="shared" si="7"/>
        <v>332.39813505220087</v>
      </c>
      <c r="S21" s="17">
        <f t="shared" si="8"/>
        <v>4926.2844572035747</v>
      </c>
      <c r="U21" s="17">
        <f t="shared" si="9"/>
        <v>15126.896236090426</v>
      </c>
      <c r="W21" s="17">
        <f t="shared" si="10"/>
        <v>5495.4495676285542</v>
      </c>
      <c r="X21" s="17">
        <f t="shared" si="11"/>
        <v>3701.8718495543549</v>
      </c>
    </row>
    <row r="22" spans="1:24" x14ac:dyDescent="0.25">
      <c r="B22" s="14">
        <v>17</v>
      </c>
      <c r="D22" s="17">
        <f t="shared" si="1"/>
        <v>1339.4363529578745</v>
      </c>
      <c r="E22" s="17">
        <f t="shared" si="2"/>
        <v>582.30924502661787</v>
      </c>
      <c r="F22" s="17">
        <f t="shared" si="3"/>
        <v>13800.604017734189</v>
      </c>
      <c r="H22" s="17">
        <f t="shared" si="12"/>
        <v>1722.0265199662533</v>
      </c>
      <c r="J22" s="17">
        <f t="shared" si="13"/>
        <v>0</v>
      </c>
      <c r="L22" s="17">
        <f t="shared" si="4"/>
        <v>145.57731125665447</v>
      </c>
      <c r="N22" s="17">
        <f t="shared" si="5"/>
        <v>0</v>
      </c>
      <c r="P22" s="17">
        <f t="shared" si="6"/>
        <v>528.1674782650332</v>
      </c>
      <c r="Q22" s="17">
        <f t="shared" si="7"/>
        <v>347.10905602332815</v>
      </c>
      <c r="S22" s="17">
        <f t="shared" si="8"/>
        <v>5602.240469184715</v>
      </c>
      <c r="U22" s="17">
        <f t="shared" si="9"/>
        <v>13815.625940207705</v>
      </c>
      <c r="W22" s="17">
        <f t="shared" si="10"/>
        <v>5617.2623916582306</v>
      </c>
      <c r="X22" s="17">
        <f t="shared" si="11"/>
        <v>3691.637078088751</v>
      </c>
    </row>
    <row r="23" spans="1:24" x14ac:dyDescent="0.25">
      <c r="A23" s="32">
        <v>18</v>
      </c>
      <c r="B23" s="14">
        <v>18</v>
      </c>
      <c r="D23" s="17">
        <f t="shared" si="1"/>
        <v>1339.4363529578745</v>
      </c>
      <c r="E23" s="17">
        <f t="shared" si="2"/>
        <v>552.02416070936761</v>
      </c>
      <c r="F23" s="17">
        <f t="shared" si="3"/>
        <v>13013.191825485683</v>
      </c>
      <c r="H23" s="17">
        <f t="shared" si="12"/>
        <v>1765.0771829654093</v>
      </c>
      <c r="J23" s="17">
        <f t="shared" si="13"/>
        <v>0</v>
      </c>
      <c r="L23" s="17">
        <f t="shared" si="4"/>
        <v>138.0060401773419</v>
      </c>
      <c r="N23" s="17">
        <f t="shared" si="5"/>
        <v>0</v>
      </c>
      <c r="P23" s="17">
        <f t="shared" si="6"/>
        <v>563.64687018487666</v>
      </c>
      <c r="Q23" s="17">
        <f t="shared" si="7"/>
        <v>361.39115806932801</v>
      </c>
      <c r="S23" s="17">
        <f t="shared" si="8"/>
        <v>6333.9545534451336</v>
      </c>
      <c r="U23" s="17">
        <f t="shared" si="9"/>
        <v>12420.890605874372</v>
      </c>
      <c r="W23" s="17">
        <f t="shared" si="10"/>
        <v>5741.6533338338231</v>
      </c>
      <c r="X23" s="17">
        <f t="shared" si="11"/>
        <v>3681.3523809086837</v>
      </c>
    </row>
    <row r="24" spans="1:24" x14ac:dyDescent="0.25">
      <c r="B24" s="14">
        <v>19</v>
      </c>
      <c r="D24" s="17">
        <f t="shared" si="1"/>
        <v>1339.4363529578745</v>
      </c>
      <c r="E24" s="17">
        <f t="shared" si="2"/>
        <v>520.52767301942731</v>
      </c>
      <c r="F24" s="17">
        <f t="shared" si="3"/>
        <v>12194.283145547235</v>
      </c>
      <c r="H24" s="17">
        <f t="shared" si="12"/>
        <v>1809.2041125395447</v>
      </c>
      <c r="J24" s="17">
        <f t="shared" si="13"/>
        <v>0</v>
      </c>
      <c r="L24" s="17">
        <f t="shared" si="4"/>
        <v>130.13191825485683</v>
      </c>
      <c r="N24" s="17">
        <f t="shared" si="5"/>
        <v>0</v>
      </c>
      <c r="P24" s="17">
        <f t="shared" si="6"/>
        <v>599.89967783652696</v>
      </c>
      <c r="Q24" s="17">
        <f t="shared" si="7"/>
        <v>375.25387556435601</v>
      </c>
      <c r="S24" s="17">
        <f t="shared" si="8"/>
        <v>7123.8728678850148</v>
      </c>
      <c r="U24" s="17">
        <f t="shared" si="9"/>
        <v>10939.083108697552</v>
      </c>
      <c r="W24" s="17">
        <f t="shared" si="10"/>
        <v>5868.6728310353319</v>
      </c>
      <c r="X24" s="17">
        <f t="shared" si="11"/>
        <v>3671.0175144740811</v>
      </c>
    </row>
    <row r="25" spans="1:24" x14ac:dyDescent="0.25">
      <c r="A25" s="32">
        <v>20</v>
      </c>
      <c r="B25" s="14">
        <v>20</v>
      </c>
      <c r="D25" s="17">
        <f t="shared" si="1"/>
        <v>1339.4363529578745</v>
      </c>
      <c r="E25" s="17">
        <f t="shared" si="2"/>
        <v>487.77132582188943</v>
      </c>
      <c r="F25" s="17">
        <f t="shared" si="3"/>
        <v>11342.61811841125</v>
      </c>
      <c r="H25" s="17">
        <f t="shared" si="12"/>
        <v>1854.4342153530333</v>
      </c>
      <c r="J25" s="17">
        <f t="shared" si="13"/>
        <v>0</v>
      </c>
      <c r="L25" s="17">
        <f t="shared" si="4"/>
        <v>121.94283145547236</v>
      </c>
      <c r="N25" s="17">
        <f t="shared" si="5"/>
        <v>0</v>
      </c>
      <c r="P25" s="17">
        <f t="shared" si="6"/>
        <v>636.94069385063108</v>
      </c>
      <c r="Q25" s="17">
        <f t="shared" si="7"/>
        <v>388.70639778138224</v>
      </c>
      <c r="S25" s="17">
        <f t="shared" si="8"/>
        <v>7974.5297477721961</v>
      </c>
      <c r="U25" s="17">
        <f t="shared" si="9"/>
        <v>9366.4605312215517</v>
      </c>
      <c r="W25" s="17">
        <f t="shared" si="10"/>
        <v>5998.3721605824976</v>
      </c>
      <c r="X25" s="17">
        <f t="shared" si="11"/>
        <v>3660.6322340568399</v>
      </c>
    </row>
    <row r="26" spans="1:24" x14ac:dyDescent="0.25">
      <c r="B26" s="14">
        <v>21</v>
      </c>
      <c r="D26" s="17">
        <f t="shared" si="1"/>
        <v>1339.4363529578745</v>
      </c>
      <c r="E26" s="17">
        <f t="shared" si="2"/>
        <v>453.70472473645003</v>
      </c>
      <c r="F26" s="17">
        <f t="shared" si="3"/>
        <v>10456.886490189825</v>
      </c>
      <c r="H26" s="17">
        <f t="shared" si="12"/>
        <v>1900.7950707368589</v>
      </c>
      <c r="J26" s="17">
        <f t="shared" si="13"/>
        <v>0</v>
      </c>
      <c r="L26" s="17">
        <f t="shared" si="4"/>
        <v>113.42618118411251</v>
      </c>
      <c r="N26" s="17">
        <f t="shared" si="5"/>
        <v>0</v>
      </c>
      <c r="P26" s="17">
        <f t="shared" si="6"/>
        <v>674.78489896309679</v>
      </c>
      <c r="Q26" s="17">
        <f t="shared" si="7"/>
        <v>401.75767465083874</v>
      </c>
      <c r="S26" s="17">
        <f t="shared" si="8"/>
        <v>8888.5505391684583</v>
      </c>
      <c r="U26" s="17">
        <f t="shared" si="9"/>
        <v>7699.1393996528959</v>
      </c>
      <c r="W26" s="17">
        <f t="shared" si="10"/>
        <v>6130.8034486315291</v>
      </c>
      <c r="X26" s="17">
        <f t="shared" si="11"/>
        <v>3650.1962937351536</v>
      </c>
    </row>
    <row r="27" spans="1:24" x14ac:dyDescent="0.25">
      <c r="A27" s="32">
        <v>22</v>
      </c>
      <c r="B27" s="14">
        <v>22</v>
      </c>
      <c r="D27" s="17">
        <f t="shared" si="1"/>
        <v>1339.4363529578745</v>
      </c>
      <c r="E27" s="17">
        <f t="shared" si="2"/>
        <v>418.27545960759301</v>
      </c>
      <c r="F27" s="17">
        <f t="shared" si="3"/>
        <v>9535.7255968395439</v>
      </c>
      <c r="H27" s="17">
        <f t="shared" si="12"/>
        <v>1948.3149475052801</v>
      </c>
      <c r="J27" s="17">
        <f t="shared" si="13"/>
        <v>0</v>
      </c>
      <c r="L27" s="17">
        <f t="shared" si="4"/>
        <v>104.56886490189825</v>
      </c>
      <c r="N27" s="17">
        <f t="shared" si="5"/>
        <v>0</v>
      </c>
      <c r="P27" s="17">
        <f t="shared" si="6"/>
        <v>713.44745944930401</v>
      </c>
      <c r="Q27" s="17">
        <f t="shared" si="7"/>
        <v>414.41642237559921</v>
      </c>
      <c r="S27" s="17">
        <f t="shared" si="8"/>
        <v>9868.6545147928155</v>
      </c>
      <c r="U27" s="17">
        <f t="shared" si="9"/>
        <v>5933.0907604495369</v>
      </c>
      <c r="W27" s="17">
        <f t="shared" si="10"/>
        <v>6266.0196784028085</v>
      </c>
      <c r="X27" s="17">
        <f t="shared" si="11"/>
        <v>3639.7094463875001</v>
      </c>
    </row>
    <row r="28" spans="1:24" x14ac:dyDescent="0.25">
      <c r="B28" s="14">
        <v>23</v>
      </c>
      <c r="D28" s="17">
        <f t="shared" si="1"/>
        <v>1339.4363529578745</v>
      </c>
      <c r="E28" s="17">
        <f t="shared" si="2"/>
        <v>381.42902387358174</v>
      </c>
      <c r="F28" s="17">
        <f t="shared" si="3"/>
        <v>8577.7182677552519</v>
      </c>
      <c r="H28" s="17">
        <f t="shared" si="12"/>
        <v>1997.022821192912</v>
      </c>
      <c r="J28" s="17">
        <f t="shared" si="13"/>
        <v>0</v>
      </c>
      <c r="L28" s="17">
        <f t="shared" si="4"/>
        <v>95.357255968395435</v>
      </c>
      <c r="N28" s="17">
        <f t="shared" si="5"/>
        <v>0</v>
      </c>
      <c r="P28" s="17">
        <f t="shared" si="6"/>
        <v>752.94372420343279</v>
      </c>
      <c r="Q28" s="17">
        <f t="shared" si="7"/>
        <v>426.69112890574951</v>
      </c>
      <c r="S28" s="17">
        <f t="shared" si="8"/>
        <v>10917.657874440032</v>
      </c>
      <c r="U28" s="17">
        <f t="shared" si="9"/>
        <v>4064.1350915402618</v>
      </c>
      <c r="W28" s="17">
        <f t="shared" si="10"/>
        <v>6404.0746982250421</v>
      </c>
      <c r="X28" s="17">
        <f t="shared" si="11"/>
        <v>3629.1714436869361</v>
      </c>
    </row>
    <row r="29" spans="1:24" x14ac:dyDescent="0.25">
      <c r="A29" s="32">
        <v>24</v>
      </c>
      <c r="B29" s="14">
        <v>24</v>
      </c>
      <c r="D29" s="17">
        <f t="shared" si="1"/>
        <v>1339.4363529578745</v>
      </c>
      <c r="E29" s="17">
        <f t="shared" si="2"/>
        <v>343.10873071021007</v>
      </c>
      <c r="F29" s="17">
        <f t="shared" si="3"/>
        <v>7581.3906455075876</v>
      </c>
      <c r="H29" s="17">
        <f t="shared" si="12"/>
        <v>2046.9483917227349</v>
      </c>
      <c r="J29" s="17">
        <f t="shared" si="13"/>
        <v>0</v>
      </c>
      <c r="L29" s="17">
        <f t="shared" si="4"/>
        <v>85.777182677552517</v>
      </c>
      <c r="N29" s="17">
        <f t="shared" si="5"/>
        <v>0</v>
      </c>
      <c r="P29" s="17">
        <f t="shared" si="6"/>
        <v>793.28922144241278</v>
      </c>
      <c r="Q29" s="17">
        <f t="shared" si="7"/>
        <v>438.59005927652288</v>
      </c>
      <c r="S29" s="17">
        <f t="shared" si="8"/>
        <v>12038.476832115648</v>
      </c>
      <c r="U29" s="17">
        <f t="shared" si="9"/>
        <v>2087.9370427706285</v>
      </c>
      <c r="W29" s="17">
        <f t="shared" si="10"/>
        <v>6545.0232293786885</v>
      </c>
      <c r="X29" s="17">
        <f t="shared" si="11"/>
        <v>3618.5820360951448</v>
      </c>
    </row>
    <row r="30" spans="1:24" x14ac:dyDescent="0.25">
      <c r="B30" s="14">
        <v>25</v>
      </c>
      <c r="D30" s="17">
        <f t="shared" si="1"/>
        <v>1339.4363529578745</v>
      </c>
      <c r="E30" s="17">
        <f t="shared" si="2"/>
        <v>303.25562582030352</v>
      </c>
      <c r="F30" s="17">
        <f t="shared" si="3"/>
        <v>6545.2099183700166</v>
      </c>
      <c r="H30" s="17">
        <f t="shared" si="12"/>
        <v>2098.122101515803</v>
      </c>
      <c r="J30" s="17">
        <f t="shared" si="13"/>
        <v>0</v>
      </c>
      <c r="L30" s="17">
        <f t="shared" si="4"/>
        <v>75.81390645507588</v>
      </c>
      <c r="N30" s="17">
        <f t="shared" si="5"/>
        <v>0</v>
      </c>
      <c r="P30" s="17">
        <f t="shared" si="6"/>
        <v>834.49965501300449</v>
      </c>
      <c r="Q30" s="17">
        <f t="shared" si="7"/>
        <v>450.12126081268519</v>
      </c>
      <c r="S30" s="17">
        <f t="shared" si="8"/>
        <v>13234.130792092121</v>
      </c>
      <c r="U30" s="17">
        <f t="shared" si="9"/>
        <v>0</v>
      </c>
      <c r="W30" s="17">
        <f t="shared" si="10"/>
        <v>6688.9208737221043</v>
      </c>
      <c r="X30" s="17">
        <f t="shared" si="11"/>
        <v>3607.9409728565579</v>
      </c>
    </row>
    <row r="31" spans="1:24" x14ac:dyDescent="0.25">
      <c r="A31" s="32">
        <v>26</v>
      </c>
      <c r="B31" s="14">
        <v>26</v>
      </c>
      <c r="D31" s="17">
        <f t="shared" si="1"/>
        <v>1339.4363529578745</v>
      </c>
      <c r="E31" s="17">
        <f t="shared" si="2"/>
        <v>261.80839673480068</v>
      </c>
      <c r="F31" s="17">
        <f t="shared" si="3"/>
        <v>5467.5819621469427</v>
      </c>
      <c r="H31" s="17">
        <f t="shared" si="12"/>
        <v>0</v>
      </c>
      <c r="J31" s="17">
        <f t="shared" si="13"/>
        <v>0</v>
      </c>
      <c r="L31" s="17">
        <f t="shared" si="4"/>
        <v>65.45209918370017</v>
      </c>
      <c r="N31" s="17">
        <f t="shared" si="5"/>
        <v>0</v>
      </c>
      <c r="P31" s="17">
        <f t="shared" si="6"/>
        <v>-1273.9842537741742</v>
      </c>
      <c r="Q31" s="17">
        <f t="shared" si="7"/>
        <v>-670.41474887058826</v>
      </c>
      <c r="S31" s="17">
        <f t="shared" si="8"/>
        <v>12357.17046208071</v>
      </c>
      <c r="U31" s="17">
        <f t="shared" si="9"/>
        <v>0</v>
      </c>
      <c r="W31" s="17">
        <f t="shared" si="10"/>
        <v>6889.5884999337677</v>
      </c>
      <c r="X31" s="17">
        <f t="shared" si="11"/>
        <v>3625.5406849192736</v>
      </c>
    </row>
    <row r="32" spans="1:24" x14ac:dyDescent="0.25">
      <c r="B32" s="14">
        <v>27</v>
      </c>
      <c r="D32" s="17">
        <f t="shared" si="1"/>
        <v>1339.4363529578745</v>
      </c>
      <c r="E32" s="17">
        <f t="shared" si="2"/>
        <v>218.70327848587772</v>
      </c>
      <c r="F32" s="17">
        <f t="shared" si="3"/>
        <v>4346.8488876749461</v>
      </c>
      <c r="H32" s="17">
        <f t="shared" si="12"/>
        <v>0</v>
      </c>
      <c r="J32" s="17">
        <f t="shared" si="13"/>
        <v>0</v>
      </c>
      <c r="L32" s="17">
        <f t="shared" si="4"/>
        <v>54.675819621469429</v>
      </c>
      <c r="N32" s="17">
        <f t="shared" si="5"/>
        <v>0</v>
      </c>
      <c r="P32" s="17">
        <f t="shared" si="6"/>
        <v>-1284.7605333364052</v>
      </c>
      <c r="Q32" s="17">
        <f t="shared" si="7"/>
        <v>-659.5957086281926</v>
      </c>
      <c r="S32" s="17">
        <f t="shared" si="8"/>
        <v>11443.125042606727</v>
      </c>
      <c r="U32" s="17">
        <f t="shared" si="9"/>
        <v>0</v>
      </c>
      <c r="W32" s="17">
        <f t="shared" si="10"/>
        <v>7096.2761549317811</v>
      </c>
      <c r="X32" s="17">
        <f t="shared" si="11"/>
        <v>3643.2262492359532</v>
      </c>
    </row>
    <row r="33" spans="1:24" x14ac:dyDescent="0.25">
      <c r="A33" s="32">
        <v>28</v>
      </c>
      <c r="B33" s="14">
        <v>28</v>
      </c>
      <c r="D33" s="17">
        <f t="shared" si="1"/>
        <v>1339.4363529578745</v>
      </c>
      <c r="E33" s="17">
        <f t="shared" si="2"/>
        <v>173.87395550699785</v>
      </c>
      <c r="F33" s="17">
        <f t="shared" si="3"/>
        <v>3181.2864902240694</v>
      </c>
      <c r="H33" s="17">
        <f t="shared" si="12"/>
        <v>0</v>
      </c>
      <c r="J33" s="17">
        <f t="shared" si="13"/>
        <v>0</v>
      </c>
      <c r="L33" s="17">
        <f t="shared" si="4"/>
        <v>43.468488876749461</v>
      </c>
      <c r="N33" s="17">
        <f t="shared" si="5"/>
        <v>0</v>
      </c>
      <c r="P33" s="17">
        <f t="shared" si="6"/>
        <v>-1295.9678640811251</v>
      </c>
      <c r="Q33" s="17">
        <f t="shared" si="7"/>
        <v>-649.12151140144101</v>
      </c>
      <c r="S33" s="17">
        <f t="shared" si="8"/>
        <v>10490.450929803805</v>
      </c>
      <c r="U33" s="17">
        <f t="shared" si="9"/>
        <v>0</v>
      </c>
      <c r="W33" s="17">
        <f t="shared" si="10"/>
        <v>7309.1644395797357</v>
      </c>
      <c r="X33" s="17">
        <f t="shared" si="11"/>
        <v>3660.9980845980804</v>
      </c>
    </row>
    <row r="34" spans="1:24" x14ac:dyDescent="0.25">
      <c r="B34" s="14">
        <v>29</v>
      </c>
      <c r="D34" s="17">
        <f t="shared" si="1"/>
        <v>1339.4363529578745</v>
      </c>
      <c r="E34" s="17">
        <f t="shared" si="2"/>
        <v>127.25145960896278</v>
      </c>
      <c r="F34" s="17">
        <f t="shared" si="3"/>
        <v>1969.1015968751576</v>
      </c>
      <c r="H34" s="17">
        <f t="shared" si="12"/>
        <v>0</v>
      </c>
      <c r="J34" s="17">
        <f t="shared" si="13"/>
        <v>0</v>
      </c>
      <c r="L34" s="17">
        <f t="shared" si="4"/>
        <v>31.812864902240694</v>
      </c>
      <c r="N34" s="17">
        <f t="shared" si="5"/>
        <v>0</v>
      </c>
      <c r="P34" s="17">
        <f t="shared" si="6"/>
        <v>-1307.6234880556337</v>
      </c>
      <c r="Q34" s="17">
        <f t="shared" si="7"/>
        <v>-638.98493122388356</v>
      </c>
      <c r="S34" s="17">
        <f t="shared" si="8"/>
        <v>9497.5409696422867</v>
      </c>
      <c r="U34" s="17">
        <f t="shared" si="9"/>
        <v>0</v>
      </c>
      <c r="W34" s="17">
        <f t="shared" si="10"/>
        <v>7528.4393727671286</v>
      </c>
      <c r="X34" s="17">
        <f t="shared" si="11"/>
        <v>3678.8566118400222</v>
      </c>
    </row>
    <row r="35" spans="1:24" x14ac:dyDescent="0.25">
      <c r="A35" s="32">
        <v>30</v>
      </c>
      <c r="B35" s="15">
        <v>30</v>
      </c>
      <c r="D35" s="18">
        <f t="shared" si="1"/>
        <v>1339.4363529578745</v>
      </c>
      <c r="E35" s="18">
        <f t="shared" si="2"/>
        <v>78.7640638750063</v>
      </c>
      <c r="F35" s="18">
        <f t="shared" si="3"/>
        <v>708.42930779228936</v>
      </c>
      <c r="H35" s="18">
        <f t="shared" si="12"/>
        <v>0</v>
      </c>
      <c r="J35" s="18">
        <f t="shared" si="13"/>
        <v>0</v>
      </c>
      <c r="L35" s="18">
        <f t="shared" si="4"/>
        <v>19.691015968751575</v>
      </c>
      <c r="N35" s="18">
        <f t="shared" si="5"/>
        <v>0</v>
      </c>
      <c r="P35" s="18">
        <f t="shared" si="6"/>
        <v>-1319.745336989123</v>
      </c>
      <c r="Q35" s="18">
        <f t="shared" si="7"/>
        <v>-629.17893571125978</v>
      </c>
      <c r="S35" s="18">
        <f t="shared" si="8"/>
        <v>8462.7218617424332</v>
      </c>
      <c r="U35" s="18">
        <f t="shared" si="9"/>
        <v>0</v>
      </c>
      <c r="W35" s="18">
        <f t="shared" si="10"/>
        <v>7754.2925539501439</v>
      </c>
      <c r="X35" s="18">
        <f t="shared" si="11"/>
        <v>3696.802253849</v>
      </c>
    </row>
    <row r="36" spans="1:24" s="1" customFormat="1" x14ac:dyDescent="0.25">
      <c r="A36" s="32"/>
      <c r="B36" s="3">
        <v>31</v>
      </c>
      <c r="C36" s="3"/>
      <c r="D36" s="6">
        <f t="shared" si="1"/>
        <v>0</v>
      </c>
      <c r="E36" s="6">
        <f t="shared" si="2"/>
        <v>28.337172311691575</v>
      </c>
      <c r="F36" s="6">
        <f t="shared" si="3"/>
        <v>736.76648010398094</v>
      </c>
      <c r="H36" s="6">
        <f t="shared" si="12"/>
        <v>0</v>
      </c>
      <c r="J36" s="6">
        <f t="shared" si="13"/>
        <v>0</v>
      </c>
      <c r="K36" s="6"/>
      <c r="L36" s="6">
        <f t="shared" si="4"/>
        <v>7.0842930779228936</v>
      </c>
      <c r="M36" s="6"/>
      <c r="N36" s="6">
        <f t="shared" si="5"/>
        <v>0</v>
      </c>
      <c r="P36" s="6">
        <f t="shared" si="6"/>
        <v>7.0842930779228936</v>
      </c>
      <c r="Q36" s="6">
        <f t="shared" si="7"/>
        <v>3.2950096630028525</v>
      </c>
      <c r="S36" s="6">
        <f t="shared" si="8"/>
        <v>8723.6878106726308</v>
      </c>
      <c r="U36" s="6">
        <f t="shared" si="9"/>
        <v>0</v>
      </c>
      <c r="W36" s="6">
        <f t="shared" si="10"/>
        <v>7986.9213305686499</v>
      </c>
      <c r="X36" s="6">
        <f t="shared" si="11"/>
        <v>3714.8354355750921</v>
      </c>
    </row>
    <row r="37" spans="1:24" s="1" customFormat="1" x14ac:dyDescent="0.25">
      <c r="A37" s="32"/>
      <c r="B37" s="3">
        <v>32</v>
      </c>
      <c r="C37" s="3"/>
      <c r="D37" s="6">
        <f t="shared" si="1"/>
        <v>0</v>
      </c>
      <c r="E37" s="6">
        <f t="shared" si="2"/>
        <v>29.470659204159237</v>
      </c>
      <c r="F37" s="6">
        <f t="shared" si="3"/>
        <v>766.23713930814017</v>
      </c>
      <c r="H37" s="6">
        <f t="shared" si="12"/>
        <v>0</v>
      </c>
      <c r="J37" s="6">
        <f t="shared" si="13"/>
        <v>0</v>
      </c>
      <c r="K37" s="6"/>
      <c r="L37" s="6">
        <f t="shared" si="4"/>
        <v>7.3676648010398091</v>
      </c>
      <c r="M37" s="6"/>
      <c r="N37" s="6">
        <f t="shared" si="5"/>
        <v>0</v>
      </c>
      <c r="P37" s="6">
        <f t="shared" si="6"/>
        <v>7.3676648010398091</v>
      </c>
      <c r="Q37" s="6">
        <f t="shared" si="7"/>
        <v>3.3432293166077729</v>
      </c>
      <c r="S37" s="6">
        <f t="shared" si="8"/>
        <v>8992.7661097938508</v>
      </c>
      <c r="U37" s="6">
        <f t="shared" si="9"/>
        <v>0</v>
      </c>
      <c r="W37" s="6">
        <f t="shared" si="10"/>
        <v>8226.5289704857114</v>
      </c>
      <c r="X37" s="6">
        <f t="shared" si="11"/>
        <v>3732.9565840413138</v>
      </c>
    </row>
    <row r="38" spans="1:24" s="1" customFormat="1" x14ac:dyDescent="0.25">
      <c r="A38" s="32"/>
      <c r="B38" s="3">
        <v>33</v>
      </c>
      <c r="C38" s="3"/>
      <c r="D38" s="6">
        <f t="shared" ref="D38:D55" si="14">IF(AND(Replacement=TRUE,B38&gt;C_nl),"",IF(B38&gt;nM,0,A))</f>
        <v>0</v>
      </c>
      <c r="E38" s="6">
        <f t="shared" ref="E38:E55" si="15">IF(AND(Replacement=TRUE,B38&gt;C_nl),"",F37*im)</f>
        <v>30.649485572325606</v>
      </c>
      <c r="F38" s="6">
        <f t="shared" ref="F38:F55" si="16">IF(AND(Replacement=TRUE,B38&gt;C_nl),"",F37-(D38-E38))</f>
        <v>796.88662488046577</v>
      </c>
      <c r="H38" s="6">
        <f t="shared" si="12"/>
        <v>0</v>
      </c>
      <c r="J38" s="6">
        <f t="shared" si="13"/>
        <v>0</v>
      </c>
      <c r="K38" s="6"/>
      <c r="L38" s="6">
        <f t="shared" ref="L38:L55" si="17">IF(AND(Replacement=TRUE,B38&gt;C_nl),"",E38*rt)</f>
        <v>7.6623713930814015</v>
      </c>
      <c r="M38" s="6"/>
      <c r="N38" s="6">
        <f t="shared" ref="N38:N55" si="18">IF(AND(Replacement=TRUE,B38&gt;C_nl),"",CC*(1+ii)^B38*rpt)</f>
        <v>0</v>
      </c>
      <c r="P38" s="6">
        <f t="shared" ref="P38:P55" si="19">IF(AND(Replacement=TRUE,B38&gt;C_nl),"",H38+L38-D38-J38-N38*(1-rt))</f>
        <v>7.6623713930814015</v>
      </c>
      <c r="Q38" s="6">
        <f t="shared" ref="Q38:Q55" si="20">IF(AND(Replacement=TRUE,B38&gt;C_nl),"",P38*(1+ii)^-B38)</f>
        <v>3.3921546236800819</v>
      </c>
      <c r="S38" s="6">
        <f t="shared" ref="S38:S55" si="21">IF(AND(Replacement=TRUE,B38&gt;C_nl),"",S37*(1+is*(1-rt))+P38)</f>
        <v>9270.211464480748</v>
      </c>
      <c r="U38" s="6">
        <f t="shared" ref="U38:U55" si="22">IF(AND(Replacement=TRUE,B38&gt;C_nl),"",IF(B38&gt;C_nl,0,IF(if=ime,H39*(C_nl-B38),IF(Control=FALSE,(H39*(1+if)/(ime-if)*(1-((1+if)/(1+ime))^(C_nl-B38))),(H39*(1+if)/(ime-if)*(1-((1+if)/(1+ime))^(ns)))))))</f>
        <v>0</v>
      </c>
      <c r="W38" s="6">
        <f t="shared" ref="W38:W55" si="23">IF(AND(Replacement=TRUE,B38&gt;C_nl),"",U38-F38+S38)</f>
        <v>8473.3248396002818</v>
      </c>
      <c r="X38" s="6">
        <f t="shared" ref="X38:X55" si="24">IF(AND(Replacement=TRUE,B38&gt;C_nl),"",W38*(1+ii)^-B38)</f>
        <v>3751.1661283537101</v>
      </c>
    </row>
    <row r="39" spans="1:24" s="1" customFormat="1" x14ac:dyDescent="0.25">
      <c r="A39" s="32"/>
      <c r="B39" s="3">
        <v>34</v>
      </c>
      <c r="C39" s="3"/>
      <c r="D39" s="6">
        <f t="shared" si="14"/>
        <v>0</v>
      </c>
      <c r="E39" s="6">
        <f t="shared" si="15"/>
        <v>31.875464995218632</v>
      </c>
      <c r="F39" s="6">
        <f t="shared" si="16"/>
        <v>828.76208987568441</v>
      </c>
      <c r="H39" s="6">
        <f t="shared" ref="H39:H55" si="25">IF(AND(Replacement=TRUE,B39&gt;C_nl),"",IF(B39&gt;C_nl,0,S*(1-(B39-1)*C_rd/(nl-1))*(1+if)^(B39-1)))</f>
        <v>0</v>
      </c>
      <c r="J39" s="6">
        <f t="shared" ref="J39:J55" si="26">IF(AND(Replacement=TRUE,B39&gt;C_nl),"",IF(B39&gt;C_nl,0,MC*(1+ii)^(B39-1)))</f>
        <v>0</v>
      </c>
      <c r="K39" s="6"/>
      <c r="L39" s="6">
        <f t="shared" si="17"/>
        <v>7.968866248804658</v>
      </c>
      <c r="M39" s="6"/>
      <c r="N39" s="6">
        <f t="shared" si="18"/>
        <v>0</v>
      </c>
      <c r="P39" s="6">
        <f t="shared" si="19"/>
        <v>7.968866248804658</v>
      </c>
      <c r="Q39" s="6">
        <f t="shared" si="20"/>
        <v>3.4417959108558884</v>
      </c>
      <c r="S39" s="6">
        <f t="shared" si="21"/>
        <v>9556.2866746639756</v>
      </c>
      <c r="U39" s="6">
        <f t="shared" si="22"/>
        <v>0</v>
      </c>
      <c r="W39" s="6">
        <f t="shared" si="23"/>
        <v>8727.5245847882907</v>
      </c>
      <c r="X39" s="6">
        <f t="shared" si="24"/>
        <v>3769.4644997115333</v>
      </c>
    </row>
    <row r="40" spans="1:24" s="1" customFormat="1" x14ac:dyDescent="0.25">
      <c r="A40" s="32"/>
      <c r="B40" s="3">
        <v>35</v>
      </c>
      <c r="C40" s="3"/>
      <c r="D40" s="6">
        <f t="shared" si="14"/>
        <v>0</v>
      </c>
      <c r="E40" s="6">
        <f t="shared" si="15"/>
        <v>33.150483595027374</v>
      </c>
      <c r="F40" s="6">
        <f t="shared" si="16"/>
        <v>861.91257347071178</v>
      </c>
      <c r="H40" s="6">
        <f t="shared" si="25"/>
        <v>0</v>
      </c>
      <c r="J40" s="6">
        <f t="shared" si="26"/>
        <v>0</v>
      </c>
      <c r="K40" s="6"/>
      <c r="L40" s="6">
        <f t="shared" si="17"/>
        <v>8.2876208987568436</v>
      </c>
      <c r="M40" s="6"/>
      <c r="N40" s="6">
        <f t="shared" si="18"/>
        <v>0</v>
      </c>
      <c r="P40" s="6">
        <f t="shared" si="19"/>
        <v>8.2876208987568436</v>
      </c>
      <c r="Q40" s="6">
        <f t="shared" si="20"/>
        <v>3.4921636558928042</v>
      </c>
      <c r="S40" s="6">
        <f t="shared" si="21"/>
        <v>9851.2628958026507</v>
      </c>
      <c r="U40" s="6">
        <f t="shared" si="22"/>
        <v>0</v>
      </c>
      <c r="W40" s="6">
        <f t="shared" si="23"/>
        <v>8989.3503223319385</v>
      </c>
      <c r="X40" s="6">
        <f t="shared" si="24"/>
        <v>3787.8521314174436</v>
      </c>
    </row>
    <row r="41" spans="1:24" s="1" customFormat="1" x14ac:dyDescent="0.25">
      <c r="A41" s="32"/>
      <c r="B41" s="3">
        <v>36</v>
      </c>
      <c r="C41" s="3"/>
      <c r="D41" s="6">
        <f t="shared" si="14"/>
        <v>0</v>
      </c>
      <c r="E41" s="6">
        <f t="shared" si="15"/>
        <v>34.476502938828474</v>
      </c>
      <c r="F41" s="6">
        <f t="shared" si="16"/>
        <v>896.38907640954028</v>
      </c>
      <c r="H41" s="6">
        <f t="shared" si="25"/>
        <v>0</v>
      </c>
      <c r="J41" s="6">
        <f t="shared" si="26"/>
        <v>0</v>
      </c>
      <c r="K41" s="6"/>
      <c r="L41" s="6">
        <f t="shared" si="17"/>
        <v>8.6191257347071186</v>
      </c>
      <c r="M41" s="6"/>
      <c r="N41" s="6">
        <f t="shared" si="18"/>
        <v>0</v>
      </c>
      <c r="P41" s="6">
        <f t="shared" si="19"/>
        <v>8.6191257347071186</v>
      </c>
      <c r="Q41" s="6">
        <f t="shared" si="20"/>
        <v>3.5432684898814792</v>
      </c>
      <c r="S41" s="6">
        <f t="shared" si="21"/>
        <v>10155.419908411437</v>
      </c>
      <c r="U41" s="6">
        <f t="shared" si="22"/>
        <v>0</v>
      </c>
      <c r="W41" s="6">
        <f t="shared" si="23"/>
        <v>9259.0308320018976</v>
      </c>
      <c r="X41" s="6">
        <f t="shared" si="24"/>
        <v>3806.3294588877725</v>
      </c>
    </row>
    <row r="42" spans="1:24" s="1" customFormat="1" x14ac:dyDescent="0.25">
      <c r="A42" s="32"/>
      <c r="B42" s="3">
        <v>37</v>
      </c>
      <c r="C42" s="3"/>
      <c r="D42" s="6">
        <f t="shared" si="14"/>
        <v>0</v>
      </c>
      <c r="E42" s="6">
        <f t="shared" si="15"/>
        <v>35.855563056381612</v>
      </c>
      <c r="F42" s="6">
        <f t="shared" si="16"/>
        <v>932.24463946592186</v>
      </c>
      <c r="H42" s="6">
        <f t="shared" si="25"/>
        <v>0</v>
      </c>
      <c r="J42" s="6">
        <f t="shared" si="26"/>
        <v>0</v>
      </c>
      <c r="K42" s="6"/>
      <c r="L42" s="6">
        <f t="shared" si="17"/>
        <v>8.9638907640954031</v>
      </c>
      <c r="M42" s="6"/>
      <c r="N42" s="6">
        <f t="shared" si="18"/>
        <v>0</v>
      </c>
      <c r="P42" s="6">
        <f t="shared" si="19"/>
        <v>8.9638907640954031</v>
      </c>
      <c r="Q42" s="6">
        <f t="shared" si="20"/>
        <v>3.5951211994895016</v>
      </c>
      <c r="S42" s="6">
        <f t="shared" si="21"/>
        <v>10469.046396427875</v>
      </c>
      <c r="U42" s="6">
        <f t="shared" si="22"/>
        <v>0</v>
      </c>
      <c r="W42" s="6">
        <f t="shared" si="23"/>
        <v>9536.8017569619533</v>
      </c>
      <c r="X42" s="6">
        <f t="shared" si="24"/>
        <v>3824.896919662835</v>
      </c>
    </row>
    <row r="43" spans="1:24" s="1" customFormat="1" x14ac:dyDescent="0.25">
      <c r="A43" s="32"/>
      <c r="B43" s="3">
        <v>38</v>
      </c>
      <c r="C43" s="3"/>
      <c r="D43" s="6">
        <f t="shared" si="14"/>
        <v>0</v>
      </c>
      <c r="E43" s="6">
        <f t="shared" si="15"/>
        <v>37.289785578636874</v>
      </c>
      <c r="F43" s="6">
        <f t="shared" si="16"/>
        <v>969.5344250445587</v>
      </c>
      <c r="H43" s="6">
        <f t="shared" si="25"/>
        <v>0</v>
      </c>
      <c r="J43" s="6">
        <f t="shared" si="26"/>
        <v>0</v>
      </c>
      <c r="K43" s="6"/>
      <c r="L43" s="6">
        <f t="shared" si="17"/>
        <v>9.3224463946592184</v>
      </c>
      <c r="M43" s="6"/>
      <c r="N43" s="6">
        <f t="shared" si="18"/>
        <v>0</v>
      </c>
      <c r="P43" s="6">
        <f t="shared" si="19"/>
        <v>9.3224463946592184</v>
      </c>
      <c r="Q43" s="6">
        <f t="shared" si="20"/>
        <v>3.647732729238129</v>
      </c>
      <c r="S43" s="6">
        <f t="shared" si="21"/>
        <v>10792.44023471537</v>
      </c>
      <c r="U43" s="6">
        <f t="shared" si="22"/>
        <v>0</v>
      </c>
      <c r="W43" s="6">
        <f t="shared" si="23"/>
        <v>9822.9058096708104</v>
      </c>
      <c r="X43" s="6">
        <f t="shared" si="24"/>
        <v>3843.5549534172883</v>
      </c>
    </row>
    <row r="44" spans="1:24" s="1" customFormat="1" x14ac:dyDescent="0.25">
      <c r="A44" s="32"/>
      <c r="B44" s="3">
        <v>39</v>
      </c>
      <c r="C44" s="3"/>
      <c r="D44" s="6">
        <f t="shared" si="14"/>
        <v>0</v>
      </c>
      <c r="E44" s="6">
        <f t="shared" si="15"/>
        <v>38.781377001782346</v>
      </c>
      <c r="F44" s="6">
        <f t="shared" si="16"/>
        <v>1008.3158020463411</v>
      </c>
      <c r="H44" s="6">
        <f t="shared" si="25"/>
        <v>0</v>
      </c>
      <c r="J44" s="6">
        <f t="shared" si="26"/>
        <v>0</v>
      </c>
      <c r="K44" s="6"/>
      <c r="L44" s="6">
        <f t="shared" si="17"/>
        <v>9.6953442504455865</v>
      </c>
      <c r="M44" s="6"/>
      <c r="N44" s="6">
        <f t="shared" si="18"/>
        <v>0</v>
      </c>
      <c r="P44" s="6">
        <f t="shared" si="19"/>
        <v>9.6953442504455865</v>
      </c>
      <c r="Q44" s="6">
        <f t="shared" si="20"/>
        <v>3.7011141838123445</v>
      </c>
      <c r="S44" s="6">
        <f t="shared" si="21"/>
        <v>11125.908786007278</v>
      </c>
      <c r="U44" s="6">
        <f t="shared" si="22"/>
        <v>0</v>
      </c>
      <c r="W44" s="6">
        <f t="shared" si="23"/>
        <v>10117.592983960936</v>
      </c>
      <c r="X44" s="6">
        <f t="shared" si="24"/>
        <v>3862.3040019705431</v>
      </c>
    </row>
    <row r="45" spans="1:24" s="1" customFormat="1" x14ac:dyDescent="0.25">
      <c r="A45" s="32"/>
      <c r="B45" s="3">
        <v>40</v>
      </c>
      <c r="C45" s="3"/>
      <c r="D45" s="6">
        <f t="shared" si="14"/>
        <v>0</v>
      </c>
      <c r="E45" s="6">
        <f t="shared" si="15"/>
        <v>40.332632081853646</v>
      </c>
      <c r="F45" s="6">
        <f t="shared" si="16"/>
        <v>1048.6484341281948</v>
      </c>
      <c r="H45" s="6">
        <f t="shared" si="25"/>
        <v>0</v>
      </c>
      <c r="J45" s="6">
        <f t="shared" si="26"/>
        <v>0</v>
      </c>
      <c r="K45" s="6"/>
      <c r="L45" s="6">
        <f t="shared" si="17"/>
        <v>10.083158020463411</v>
      </c>
      <c r="M45" s="6"/>
      <c r="N45" s="6">
        <f t="shared" si="18"/>
        <v>0</v>
      </c>
      <c r="P45" s="6">
        <f t="shared" si="19"/>
        <v>10.083158020463411</v>
      </c>
      <c r="Q45" s="6">
        <f t="shared" si="20"/>
        <v>3.7552768304047217</v>
      </c>
      <c r="S45" s="6">
        <f t="shared" si="21"/>
        <v>11469.76920760796</v>
      </c>
      <c r="U45" s="6">
        <f t="shared" si="22"/>
        <v>0</v>
      </c>
      <c r="W45" s="6">
        <f t="shared" si="23"/>
        <v>10421.120773479764</v>
      </c>
      <c r="X45" s="6">
        <f t="shared" si="24"/>
        <v>3881.1445092972294</v>
      </c>
    </row>
    <row r="46" spans="1:24" s="1" customFormat="1" x14ac:dyDescent="0.25">
      <c r="A46" s="32"/>
      <c r="B46" s="3">
        <v>41</v>
      </c>
      <c r="C46" s="3"/>
      <c r="D46" s="6">
        <f t="shared" si="14"/>
        <v>0</v>
      </c>
      <c r="E46" s="6">
        <f t="shared" si="15"/>
        <v>41.945937365127797</v>
      </c>
      <c r="F46" s="6">
        <f t="shared" si="16"/>
        <v>1090.5943714933226</v>
      </c>
      <c r="H46" s="6">
        <f t="shared" si="25"/>
        <v>0</v>
      </c>
      <c r="J46" s="6">
        <f t="shared" si="26"/>
        <v>0</v>
      </c>
      <c r="K46" s="6"/>
      <c r="L46" s="6">
        <f t="shared" si="17"/>
        <v>10.486484341281949</v>
      </c>
      <c r="M46" s="6"/>
      <c r="N46" s="6">
        <f t="shared" si="18"/>
        <v>0</v>
      </c>
      <c r="P46" s="6">
        <f t="shared" si="19"/>
        <v>10.486484341281949</v>
      </c>
      <c r="Q46" s="6">
        <f t="shared" si="20"/>
        <v>3.8102321010935714</v>
      </c>
      <c r="S46" s="6">
        <f t="shared" si="21"/>
        <v>11824.34876817748</v>
      </c>
      <c r="U46" s="6">
        <f t="shared" si="22"/>
        <v>0</v>
      </c>
      <c r="W46" s="6">
        <f t="shared" si="23"/>
        <v>10733.754396684159</v>
      </c>
      <c r="X46" s="6">
        <f t="shared" si="24"/>
        <v>3900.076921537704</v>
      </c>
    </row>
    <row r="47" spans="1:24" s="1" customFormat="1" x14ac:dyDescent="0.25">
      <c r="A47" s="32"/>
      <c r="B47" s="3">
        <v>42</v>
      </c>
      <c r="C47" s="3"/>
      <c r="D47" s="6">
        <f t="shared" si="14"/>
        <v>0</v>
      </c>
      <c r="E47" s="6">
        <f t="shared" si="15"/>
        <v>43.623774859732904</v>
      </c>
      <c r="F47" s="6">
        <f t="shared" si="16"/>
        <v>1134.2181463530555</v>
      </c>
      <c r="H47" s="6">
        <f t="shared" si="25"/>
        <v>0</v>
      </c>
      <c r="J47" s="6">
        <f t="shared" si="26"/>
        <v>0</v>
      </c>
      <c r="K47" s="6"/>
      <c r="L47" s="6">
        <f t="shared" si="17"/>
        <v>10.905943714933226</v>
      </c>
      <c r="M47" s="6"/>
      <c r="N47" s="6">
        <f t="shared" si="18"/>
        <v>0</v>
      </c>
      <c r="P47" s="6">
        <f t="shared" si="19"/>
        <v>10.905943714933226</v>
      </c>
      <c r="Q47" s="6">
        <f t="shared" si="20"/>
        <v>3.8659915952559163</v>
      </c>
      <c r="S47" s="6">
        <f t="shared" si="21"/>
        <v>12189.985174937739</v>
      </c>
      <c r="U47" s="6">
        <f t="shared" si="22"/>
        <v>0</v>
      </c>
      <c r="W47" s="6">
        <f t="shared" si="23"/>
        <v>11055.767028584683</v>
      </c>
      <c r="X47" s="6">
        <f t="shared" si="24"/>
        <v>3919.1016870086196</v>
      </c>
    </row>
    <row r="48" spans="1:24" s="1" customFormat="1" x14ac:dyDescent="0.25">
      <c r="A48" s="32"/>
      <c r="B48" s="3">
        <v>43</v>
      </c>
      <c r="C48" s="3"/>
      <c r="D48" s="6">
        <f t="shared" si="14"/>
        <v>0</v>
      </c>
      <c r="E48" s="6">
        <f t="shared" si="15"/>
        <v>45.368725854122225</v>
      </c>
      <c r="F48" s="6">
        <f t="shared" si="16"/>
        <v>1179.5868722071777</v>
      </c>
      <c r="H48" s="6">
        <f t="shared" si="25"/>
        <v>0</v>
      </c>
      <c r="J48" s="6">
        <f t="shared" si="26"/>
        <v>0</v>
      </c>
      <c r="K48" s="6"/>
      <c r="L48" s="6">
        <f t="shared" si="17"/>
        <v>11.342181463530556</v>
      </c>
      <c r="M48" s="6"/>
      <c r="N48" s="6">
        <f t="shared" si="18"/>
        <v>0</v>
      </c>
      <c r="P48" s="6">
        <f t="shared" si="19"/>
        <v>11.342181463530556</v>
      </c>
      <c r="Q48" s="6">
        <f t="shared" si="20"/>
        <v>3.9225670820157594</v>
      </c>
      <c r="S48" s="6">
        <f t="shared" si="21"/>
        <v>12567.026911649404</v>
      </c>
      <c r="U48" s="6">
        <f t="shared" si="22"/>
        <v>0</v>
      </c>
      <c r="W48" s="6">
        <f t="shared" si="23"/>
        <v>11387.440039442226</v>
      </c>
      <c r="X48" s="6">
        <f t="shared" si="24"/>
        <v>3938.219256213541</v>
      </c>
    </row>
    <row r="49" spans="1:24" s="1" customFormat="1" x14ac:dyDescent="0.25">
      <c r="A49" s="32"/>
      <c r="B49" s="3">
        <v>44</v>
      </c>
      <c r="C49" s="3"/>
      <c r="D49" s="6">
        <f t="shared" si="14"/>
        <v>0</v>
      </c>
      <c r="E49" s="6">
        <f t="shared" si="15"/>
        <v>47.183474888287108</v>
      </c>
      <c r="F49" s="6">
        <f t="shared" si="16"/>
        <v>1226.7703470954648</v>
      </c>
      <c r="H49" s="6">
        <f t="shared" si="25"/>
        <v>0</v>
      </c>
      <c r="J49" s="6">
        <f t="shared" si="26"/>
        <v>0</v>
      </c>
      <c r="K49" s="6"/>
      <c r="L49" s="6">
        <f t="shared" si="17"/>
        <v>11.795868722071777</v>
      </c>
      <c r="M49" s="6"/>
      <c r="N49" s="6">
        <f t="shared" si="18"/>
        <v>0</v>
      </c>
      <c r="P49" s="6">
        <f t="shared" si="19"/>
        <v>11.795868722071777</v>
      </c>
      <c r="Q49" s="6">
        <f t="shared" si="20"/>
        <v>3.9799705027281855</v>
      </c>
      <c r="S49" s="6">
        <f t="shared" si="21"/>
        <v>12955.833587720959</v>
      </c>
      <c r="U49" s="6">
        <f t="shared" si="22"/>
        <v>0</v>
      </c>
      <c r="W49" s="6">
        <f t="shared" si="23"/>
        <v>11729.063240625495</v>
      </c>
      <c r="X49" s="6">
        <f t="shared" si="24"/>
        <v>3957.430081853609</v>
      </c>
    </row>
    <row r="50" spans="1:24" s="1" customFormat="1" x14ac:dyDescent="0.25">
      <c r="A50" s="32"/>
      <c r="B50" s="3">
        <v>45</v>
      </c>
      <c r="C50" s="3"/>
      <c r="D50" s="6">
        <f t="shared" si="14"/>
        <v>0</v>
      </c>
      <c r="E50" s="6">
        <f t="shared" si="15"/>
        <v>49.070813883818595</v>
      </c>
      <c r="F50" s="6">
        <f t="shared" si="16"/>
        <v>1275.8411609792834</v>
      </c>
      <c r="H50" s="6">
        <f t="shared" si="25"/>
        <v>0</v>
      </c>
      <c r="J50" s="6">
        <f t="shared" si="26"/>
        <v>0</v>
      </c>
      <c r="K50" s="6"/>
      <c r="L50" s="6">
        <f t="shared" si="17"/>
        <v>12.267703470954649</v>
      </c>
      <c r="M50" s="6"/>
      <c r="N50" s="6">
        <f t="shared" si="18"/>
        <v>0</v>
      </c>
      <c r="P50" s="6">
        <f t="shared" si="19"/>
        <v>12.267703470954649</v>
      </c>
      <c r="Q50" s="6">
        <f t="shared" si="20"/>
        <v>4.0382139734998175</v>
      </c>
      <c r="S50" s="6">
        <f t="shared" si="21"/>
        <v>13356.776298823543</v>
      </c>
      <c r="U50" s="6">
        <f t="shared" si="22"/>
        <v>0</v>
      </c>
      <c r="W50" s="6">
        <f t="shared" si="23"/>
        <v>12080.935137844259</v>
      </c>
      <c r="X50" s="6">
        <f t="shared" si="24"/>
        <v>3976.7346188382598</v>
      </c>
    </row>
    <row r="51" spans="1:24" s="1" customFormat="1" x14ac:dyDescent="0.25">
      <c r="A51" s="32"/>
      <c r="B51" s="3">
        <v>46</v>
      </c>
      <c r="C51" s="3"/>
      <c r="D51" s="6">
        <f t="shared" si="14"/>
        <v>0</v>
      </c>
      <c r="E51" s="6">
        <f t="shared" si="15"/>
        <v>51.033646439171335</v>
      </c>
      <c r="F51" s="6">
        <f t="shared" si="16"/>
        <v>1326.8748074184548</v>
      </c>
      <c r="H51" s="6">
        <f t="shared" si="25"/>
        <v>0</v>
      </c>
      <c r="J51" s="6">
        <f t="shared" si="26"/>
        <v>0</v>
      </c>
      <c r="K51" s="6"/>
      <c r="L51" s="6">
        <f t="shared" si="17"/>
        <v>12.758411609792834</v>
      </c>
      <c r="M51" s="6"/>
      <c r="N51" s="6">
        <f t="shared" si="18"/>
        <v>0</v>
      </c>
      <c r="P51" s="6">
        <f t="shared" si="19"/>
        <v>12.758411609792834</v>
      </c>
      <c r="Q51" s="6">
        <f t="shared" si="20"/>
        <v>4.0973097877461564</v>
      </c>
      <c r="S51" s="6">
        <f t="shared" si="21"/>
        <v>13770.237999398043</v>
      </c>
      <c r="U51" s="6">
        <f t="shared" si="22"/>
        <v>0</v>
      </c>
      <c r="W51" s="6">
        <f t="shared" si="23"/>
        <v>12443.363191979588</v>
      </c>
      <c r="X51" s="6">
        <f t="shared" si="24"/>
        <v>3996.1333242960081</v>
      </c>
    </row>
    <row r="52" spans="1:24" s="1" customFormat="1" x14ac:dyDescent="0.25">
      <c r="A52" s="32"/>
      <c r="B52" s="3">
        <v>47</v>
      </c>
      <c r="C52" s="3"/>
      <c r="D52" s="6">
        <f t="shared" si="14"/>
        <v>0</v>
      </c>
      <c r="E52" s="6">
        <f t="shared" si="15"/>
        <v>53.074992296738195</v>
      </c>
      <c r="F52" s="6">
        <f t="shared" si="16"/>
        <v>1379.949799715193</v>
      </c>
      <c r="H52" s="6">
        <f t="shared" si="25"/>
        <v>0</v>
      </c>
      <c r="J52" s="6">
        <f t="shared" si="26"/>
        <v>0</v>
      </c>
      <c r="K52" s="6"/>
      <c r="L52" s="6">
        <f t="shared" si="17"/>
        <v>13.268748074184549</v>
      </c>
      <c r="M52" s="6"/>
      <c r="N52" s="6">
        <f t="shared" si="18"/>
        <v>0</v>
      </c>
      <c r="P52" s="6">
        <f t="shared" si="19"/>
        <v>13.268748074184549</v>
      </c>
      <c r="Q52" s="6">
        <f t="shared" si="20"/>
        <v>4.1572704187863438</v>
      </c>
      <c r="S52" s="6">
        <f t="shared" si="21"/>
        <v>14196.613887454168</v>
      </c>
      <c r="U52" s="6">
        <f t="shared" si="22"/>
        <v>0</v>
      </c>
      <c r="W52" s="6">
        <f t="shared" si="23"/>
        <v>12816.664087738976</v>
      </c>
      <c r="X52" s="6">
        <f t="shared" si="24"/>
        <v>4015.6266575852565</v>
      </c>
    </row>
    <row r="53" spans="1:24" s="1" customFormat="1" x14ac:dyDescent="0.25">
      <c r="A53" s="32"/>
      <c r="B53" s="3">
        <v>48</v>
      </c>
      <c r="C53" s="3"/>
      <c r="D53" s="6">
        <f t="shared" si="14"/>
        <v>0</v>
      </c>
      <c r="E53" s="6">
        <f t="shared" si="15"/>
        <v>55.197991988607718</v>
      </c>
      <c r="F53" s="6">
        <f t="shared" si="16"/>
        <v>1435.1477917038007</v>
      </c>
      <c r="H53" s="6">
        <f t="shared" si="25"/>
        <v>0</v>
      </c>
      <c r="J53" s="6">
        <f t="shared" si="26"/>
        <v>0</v>
      </c>
      <c r="K53" s="6"/>
      <c r="L53" s="6">
        <f t="shared" si="17"/>
        <v>13.79949799715193</v>
      </c>
      <c r="M53" s="6"/>
      <c r="N53" s="6">
        <f t="shared" si="18"/>
        <v>0</v>
      </c>
      <c r="P53" s="6">
        <f t="shared" si="19"/>
        <v>13.79949799715193</v>
      </c>
      <c r="Q53" s="6">
        <f t="shared" si="20"/>
        <v>4.2181085224758998</v>
      </c>
      <c r="S53" s="6">
        <f t="shared" si="21"/>
        <v>14636.311802074946</v>
      </c>
      <c r="U53" s="6">
        <f t="shared" si="22"/>
        <v>0</v>
      </c>
      <c r="W53" s="6">
        <f t="shared" si="23"/>
        <v>13201.164010371145</v>
      </c>
      <c r="X53" s="6">
        <f t="shared" si="24"/>
        <v>4035.215080305185</v>
      </c>
    </row>
    <row r="54" spans="1:24" s="1" customFormat="1" x14ac:dyDescent="0.25">
      <c r="A54" s="32"/>
      <c r="B54" s="3">
        <v>49</v>
      </c>
      <c r="C54" s="3"/>
      <c r="D54" s="6">
        <f t="shared" si="14"/>
        <v>0</v>
      </c>
      <c r="E54" s="6">
        <f t="shared" si="15"/>
        <v>57.405911668152029</v>
      </c>
      <c r="F54" s="6">
        <f t="shared" si="16"/>
        <v>1492.5537033719527</v>
      </c>
      <c r="H54" s="6">
        <f t="shared" si="25"/>
        <v>0</v>
      </c>
      <c r="J54" s="6">
        <f t="shared" si="26"/>
        <v>0</v>
      </c>
      <c r="K54" s="6"/>
      <c r="L54" s="6">
        <f t="shared" si="17"/>
        <v>14.351477917038007</v>
      </c>
      <c r="M54" s="6"/>
      <c r="N54" s="6">
        <f t="shared" si="18"/>
        <v>0</v>
      </c>
      <c r="P54" s="6">
        <f t="shared" si="19"/>
        <v>14.351477917038007</v>
      </c>
      <c r="Q54" s="6">
        <f t="shared" si="20"/>
        <v>4.2798369398779874</v>
      </c>
      <c r="S54" s="6">
        <f t="shared" si="21"/>
        <v>15089.752634054234</v>
      </c>
      <c r="U54" s="6">
        <f t="shared" si="22"/>
        <v>0</v>
      </c>
      <c r="W54" s="6">
        <f t="shared" si="23"/>
        <v>13597.198930682282</v>
      </c>
      <c r="X54" s="6">
        <f t="shared" si="24"/>
        <v>4054.899056306675</v>
      </c>
    </row>
    <row r="55" spans="1:24" s="1" customFormat="1" x14ac:dyDescent="0.25">
      <c r="A55" s="32"/>
      <c r="B55" s="3">
        <v>50</v>
      </c>
      <c r="C55" s="3"/>
      <c r="D55" s="6">
        <f t="shared" si="14"/>
        <v>0</v>
      </c>
      <c r="E55" s="6">
        <f t="shared" si="15"/>
        <v>59.702148134878108</v>
      </c>
      <c r="F55" s="6">
        <f t="shared" si="16"/>
        <v>1552.2558515068308</v>
      </c>
      <c r="H55" s="6">
        <f t="shared" si="25"/>
        <v>0</v>
      </c>
      <c r="J55" s="6">
        <f t="shared" si="26"/>
        <v>0</v>
      </c>
      <c r="K55" s="6"/>
      <c r="L55" s="6">
        <f t="shared" si="17"/>
        <v>14.925537033719527</v>
      </c>
      <c r="M55" s="6"/>
      <c r="N55" s="6">
        <f t="shared" si="18"/>
        <v>0</v>
      </c>
      <c r="P55" s="6">
        <f t="shared" si="19"/>
        <v>14.925537033719527</v>
      </c>
      <c r="Q55" s="6">
        <f t="shared" si="20"/>
        <v>4.3424686999737627</v>
      </c>
      <c r="S55" s="6">
        <f t="shared" si="21"/>
        <v>15557.370750109581</v>
      </c>
      <c r="U55" s="6">
        <f t="shared" si="22"/>
        <v>0</v>
      </c>
      <c r="W55" s="6">
        <f t="shared" si="23"/>
        <v>14005.114898602751</v>
      </c>
      <c r="X55" s="6">
        <f t="shared" si="24"/>
        <v>4074.6790517032928</v>
      </c>
    </row>
  </sheetData>
  <sheetProtection password="D2D0" sheet="1" objects="1" scenarios="1"/>
  <mergeCells count="9">
    <mergeCell ref="P3:Q3"/>
    <mergeCell ref="S3:S4"/>
    <mergeCell ref="U3:U4"/>
    <mergeCell ref="W3:X3"/>
    <mergeCell ref="D3:F3"/>
    <mergeCell ref="H2:H4"/>
    <mergeCell ref="J3:J4"/>
    <mergeCell ref="L2:L4"/>
    <mergeCell ref="N3:N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24</vt:i4>
      </vt:variant>
    </vt:vector>
  </HeadingPairs>
  <TitlesOfParts>
    <vt:vector size="27" baseType="lpstr">
      <vt:lpstr>User interface</vt:lpstr>
      <vt:lpstr>User guide</vt:lpstr>
      <vt:lpstr>Computations</vt:lpstr>
      <vt:lpstr>A</vt:lpstr>
      <vt:lpstr>C_nl</vt:lpstr>
      <vt:lpstr>C_rd</vt:lpstr>
      <vt:lpstr>CC</vt:lpstr>
      <vt:lpstr>Control</vt:lpstr>
      <vt:lpstr>DP</vt:lpstr>
      <vt:lpstr>iC</vt:lpstr>
      <vt:lpstr>if</vt:lpstr>
      <vt:lpstr>ii</vt:lpstr>
      <vt:lpstr>im</vt:lpstr>
      <vt:lpstr>ime</vt:lpstr>
      <vt:lpstr>is</vt:lpstr>
      <vt:lpstr>M</vt:lpstr>
      <vt:lpstr>MC</vt:lpstr>
      <vt:lpstr>nl</vt:lpstr>
      <vt:lpstr>nM</vt:lpstr>
      <vt:lpstr>ns</vt:lpstr>
      <vt:lpstr>PP</vt:lpstr>
      <vt:lpstr>rd</vt:lpstr>
      <vt:lpstr>rdp</vt:lpstr>
      <vt:lpstr>Replacement</vt:lpstr>
      <vt:lpstr>rpt</vt:lpstr>
      <vt:lpstr>rt</vt:lpstr>
      <vt:lpstr>S</vt:lpstr>
    </vt:vector>
  </TitlesOfParts>
  <Company>University of Texas at Tyler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Fumo</dc:creator>
  <cp:lastModifiedBy>Nelson Fumo</cp:lastModifiedBy>
  <cp:lastPrinted>2012-12-13T21:43:32Z</cp:lastPrinted>
  <dcterms:created xsi:type="dcterms:W3CDTF">2012-12-12T15:22:55Z</dcterms:created>
  <dcterms:modified xsi:type="dcterms:W3CDTF">2013-01-11T15:19:14Z</dcterms:modified>
</cp:coreProperties>
</file>